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Gasnetz\Kooperationsvereinbarung inkl. Verträge\KoV XIII\LRV\Versandversion\Homepage\"/>
    </mc:Choice>
  </mc:AlternateContent>
  <xr:revisionPtr revIDLastSave="0" documentId="13_ncr:1_{D88A246D-87CD-4CD2-ABB3-19D6BF38BAD2}" xr6:coauthVersionLast="47" xr6:coauthVersionMax="47" xr10:uidLastSave="{00000000-0000-0000-0000-000000000000}"/>
  <bookViews>
    <workbookView xWindow="28680" yWindow="-120" windowWidth="29040" windowHeight="1584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L31" i="18" s="1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J21" i="18"/>
  <c r="I21" i="18"/>
  <c r="H21" i="18"/>
  <c r="K21" i="18"/>
  <c r="G21" i="18"/>
  <c r="K31" i="18"/>
  <c r="G31" i="18"/>
  <c r="N31" i="18"/>
  <c r="J31" i="18"/>
  <c r="F31" i="18"/>
  <c r="M31" i="18"/>
  <c r="H53" i="18"/>
  <c r="H63" i="18"/>
  <c r="D21" i="15"/>
  <c r="C20" i="15"/>
  <c r="D66" i="18" l="1"/>
  <c r="N65" i="18" s="1"/>
  <c r="H31" i="18"/>
  <c r="E31" i="18" s="1"/>
  <c r="N21" i="18"/>
  <c r="I31" i="18"/>
  <c r="L21" i="18"/>
  <c r="M21" i="18"/>
  <c r="D56" i="18"/>
  <c r="J55" i="18" s="1"/>
  <c r="K65" i="18"/>
  <c r="G65" i="18"/>
  <c r="H65" i="18"/>
  <c r="I65" i="18"/>
  <c r="M65" i="18"/>
  <c r="F65" i="18"/>
  <c r="L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M55" i="18" l="1"/>
  <c r="J65" i="18"/>
  <c r="H55" i="18"/>
  <c r="L65" i="18"/>
  <c r="F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S12" i="7"/>
  <c r="T12" i="7"/>
  <c r="U12" i="7"/>
  <c r="V12" i="7"/>
  <c r="W12" i="7"/>
  <c r="R12" i="7"/>
  <c r="X12" i="7" l="1"/>
  <c r="X13" i="7"/>
  <c r="X11" i="7"/>
  <c r="X20" i="7"/>
  <c r="X19" i="7"/>
  <c r="X16" i="7"/>
  <c r="X15" i="7"/>
  <c r="X17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O12" i="7"/>
  <c r="P11" i="7"/>
  <c r="N13" i="7"/>
  <c r="I14" i="7"/>
  <c r="H15" i="7"/>
  <c r="P15" i="7"/>
  <c r="O16" i="7"/>
  <c r="N17" i="7"/>
  <c r="M18" i="7"/>
  <c r="L19" i="7"/>
  <c r="K20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K12" i="7"/>
  <c r="K11" i="7"/>
  <c r="J13" i="7"/>
  <c r="M14" i="7"/>
  <c r="L15" i="7"/>
  <c r="K16" i="7"/>
  <c r="J17" i="7"/>
  <c r="I18" i="7"/>
  <c r="H19" i="7"/>
  <c r="P19" i="7"/>
  <c r="O20" i="7"/>
  <c r="L12" i="7"/>
  <c r="H12" i="7"/>
  <c r="I11" i="7"/>
  <c r="F19" i="7"/>
  <c r="F17" i="7"/>
  <c r="F15" i="7"/>
  <c r="F12" i="7"/>
  <c r="F20" i="7"/>
  <c r="F18" i="7"/>
  <c r="F16" i="7"/>
  <c r="F14" i="7"/>
  <c r="F13" i="7"/>
  <c r="F11" i="7"/>
  <c r="M8" i="4"/>
  <c r="M7" i="4"/>
  <c r="C5" i="1"/>
  <c r="D6" i="15"/>
  <c r="D6" i="7"/>
  <c r="C24" i="7" l="1"/>
  <c r="C26" i="7"/>
  <c r="C22" i="7"/>
  <c r="C23" i="7"/>
  <c r="C25" i="7"/>
  <c r="C21" i="7"/>
  <c r="Q18" i="7"/>
  <c r="Q13" i="7"/>
  <c r="Q15" i="7"/>
  <c r="Q11" i="7"/>
  <c r="Q20" i="7"/>
  <c r="Q12" i="7"/>
  <c r="Q16" i="7"/>
  <c r="Q19" i="7"/>
  <c r="Q14" i="7"/>
  <c r="Q17" i="7"/>
  <c r="C41" i="7"/>
  <c r="C29" i="7"/>
  <c r="C20" i="7"/>
  <c r="C14" i="7"/>
  <c r="C12" i="7"/>
  <c r="C19" i="7"/>
  <c r="C31" i="7"/>
  <c r="C32" i="7"/>
  <c r="C16" i="7"/>
  <c r="C28" i="7"/>
  <c r="C34" i="7"/>
  <c r="C15" i="7"/>
  <c r="C39" i="7"/>
  <c r="C36" i="7"/>
  <c r="C17" i="7"/>
  <c r="C33" i="7"/>
  <c r="C38" i="7"/>
  <c r="C27" i="7"/>
  <c r="C30" i="7"/>
  <c r="C13" i="7"/>
  <c r="C18" i="7"/>
  <c r="C35" i="7"/>
  <c r="C40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<sst xmlns="http://schemas.openxmlformats.org/spreadsheetml/2006/main" count="1388" uniqueCount="676">
  <si>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</si>
  <si>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</si>
  <si>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</si>
  <si>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</si>
  <si>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</si>
  <si>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</si>
  <si>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</si>
  <si>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</si>
  <si>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</si>
  <si>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</si>
  <si>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</si>
  <si>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</si>
  <si>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</si>
  <si>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</si>
  <si>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</si>
  <si>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</si>
  <si>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</si>
  <si>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</si>
  <si>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</si>
  <si>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</si>
  <si>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</si>
  <si>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</si>
  <si>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</si>
  <si>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</si>
  <si>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</si>
  <si>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</si>
  <si>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</si>
  <si>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</si>
  <si>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</si>
  <si>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</si>
  <si>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</si>
  <si>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</si>
  <si>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</si>
  <si>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</si>
  <si>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</si>
  <si>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</si>
  <si>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</si>
  <si>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</si>
  <si>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</si>
  <si>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</si>
  <si>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</si>
  <si>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</si>
  <si>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</si>
  <si>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</si>
  <si>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</si>
  <si>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</si>
  <si>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</si>
  <si>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</si>
  <si>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</si>
  <si>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</si>
  <si>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</si>
  <si>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</si>
  <si>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</si>
  <si>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</si>
  <si>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</si>
  <si>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</si>
  <si>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</si>
  <si>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</si>
  <si>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</si>
  <si>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</si>
  <si>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</si>
  <si>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</si>
  <si>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</si>
  <si>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</si>
  <si>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</si>
  <si>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</si>
  <si>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</si>
  <si>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</si>
  <si>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</si>
  <si>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</si>
  <si>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</si>
  <si>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</si>
  <si>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</si>
  <si>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</si>
  <si>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</si>
  <si>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</si>
  <si>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</si>
  <si>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</si>
  <si>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</si>
  <si>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</si>
  <si>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</si>
  <si>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</si>
  <si>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</si>
  <si>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</si>
  <si>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</si>
  <si>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</si>
  <si>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</si>
  <si>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</si>
  <si>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</si>
  <si>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</si>
  <si>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</si>
  <si>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</si>
  <si>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</si>
  <si>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</si>
  <si>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</si>
  <si>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</si>
  <si>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</si>
  <si>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</si>
  <si>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</si>
  <si>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</si>
  <si>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</si>
  <si>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</si>
  <si>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</si>
  <si>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</si>
  <si>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</si>
  <si>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</si>
  <si>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</si>
  <si>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</si>
  <si>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</si>
  <si>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</si>
  <si>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</si>
  <si>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</si>
  <si>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</si>
  <si>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</si>
  <si>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</si>
  <si>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</si>
  <si>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</si>
  <si>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</si>
  <si>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</si>
  <si>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</si>
  <si>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</si>
  <si>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</si>
  <si>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</si>
  <si>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</si>
  <si>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</si>
  <si>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</si>
  <si>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</si>
  <si>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</si>
  <si>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</si>
  <si>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</si>
  <si>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</si>
  <si>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</si>
  <si>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</si>
  <si>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</si>
  <si>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</si>
  <si>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</si>
  <si>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</si>
  <si>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</si>
  <si>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</si>
  <si>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</si>
  <si>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</si>
  <si>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</si>
  <si>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</si>
  <si>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</si>
  <si>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</si>
  <si>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</si>
  <si>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</si>
  <si>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</si>
  <si>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</si>
  <si>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</si>
  <si>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</si>
  <si>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</si>
  <si>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</si>
  <si>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</si>
  <si>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</si>
  <si>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</si>
  <si>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</si>
  <si>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</si>
  <si>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</si>
  <si>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</si>
  <si>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</si>
  <si>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</si>
  <si>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</si>
  <si>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</si>
  <si>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</si>
  <si>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</si>
  <si>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</si>
  <si>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</si>
  <si>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</si>
  <si>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</si>
  <si>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</si>
  <si>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</si>
  <si>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</si>
  <si>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</si>
  <si>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</si>
  <si>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</si>
  <si>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</si>
  <si>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</si>
  <si>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</si>
  <si>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</si>
  <si>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</si>
  <si>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</si>
  <si>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</si>
  <si>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</si>
  <si>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</si>
  <si>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</si>
  <si>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</si>
  <si>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</si>
  <si>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</si>
  <si>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</si>
  <si>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</si>
  <si>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</si>
  <si>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</si>
  <si>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</si>
  <si>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</si>
  <si>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</si>
  <si>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</si>
  <si>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</si>
  <si>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</si>
  <si>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</si>
  <si>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</si>
  <si>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</si>
  <si>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</si>
  <si>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</si>
  <si>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</si>
  <si>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</si>
  <si>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</si>
  <si>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</si>
  <si>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</si>
  <si>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</si>
  <si>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</si>
  <si>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</si>
  <si>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</si>
  <si>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</si>
  <si>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</si>
  <si>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</si>
  <si>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</si>
  <si>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</si>
  <si>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</si>
  <si>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</si>
  <si>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</si>
  <si>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</si>
  <si>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</si>
  <si>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</si>
  <si>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</si>
  <si>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</si>
  <si>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</si>
  <si>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</si>
  <si>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</si>
  <si>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</si>
  <si>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</si>
  <si>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</si>
  <si>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</si>
  <si>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</si>
  <si>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</si>
  <si>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</si>
  <si>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</si>
  <si>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</si>
  <si>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</si>
  <si>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</si>
  <si>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</si>
  <si>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</si>
  <si>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</si>
  <si>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</si>
  <si>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</si>
  <si>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</si>
  <si>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</si>
  <si>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</si>
  <si>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</si>
  <si>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</si>
  <si>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</si>
  <si>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</si>
  <si>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</si>
  <si>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</si>
  <si>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</si>
  <si>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</si>
  <si>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</si>
  <si>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</si>
  <si>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</si>
  <si>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</si>
  <si>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</si>
  <si>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</si>
  <si>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</si>
  <si>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</si>
  <si>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</si>
  <si>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</si>
  <si>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</si>
  <si>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</si>
  <si>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</si>
  <si>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</si>
  <si>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</si>
  <si>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</si>
  <si>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</si>
  <si>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</si>
  <si>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</si>
  <si>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</si>
  <si>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</si>
  <si>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</si>
  <si>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</si>
  <si>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</si>
  <si>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</si>
  <si>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</si>
  <si>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</si>
  <si>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</si>
  <si>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</si>
  <si>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</si>
  <si>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</si>
  <si>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</si>
  <si>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</si>
  <si>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</si>
  <si>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</si>
  <si>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</si>
  <si>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</si>
  <si>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</si>
  <si>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</si>
  <si>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</si>
  <si>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</si>
  <si>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</si>
  <si>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</si>
  <si>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</si>
  <si>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</si>
  <si>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</si>
  <si>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</si>
  <si>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</si>
  <si>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</si>
  <si>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</si>
  <si>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</si>
  <si>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</si>
  <si>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</si>
  <si>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</si>
  <si>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</si>
  <si>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</si>
  <si>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</si>
  <si>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</si>
  <si>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</si>
  <si>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</si>
  <si>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</si>
  <si>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</si>
  <si>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</si>
  <si>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</si>
  <si>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</si>
  <si>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</si>
  <si>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</si>
  <si>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</si>
  <si>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</si>
  <si>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</si>
  <si>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</si>
  <si>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</si>
  <si>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</si>
  <si>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</si>
  <si>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</si>
  <si>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</si>
  <si>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</si>
  <si>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</si>
  <si>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</si>
  <si>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</si>
  <si>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</si>
  <si>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</si>
  <si>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</si>
  <si>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</si>
  <si>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</si>
  <si>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</si>
  <si>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</si>
  <si>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</si>
  <si>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</si>
  <si>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</si>
  <si>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</si>
  <si>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</si>
  <si>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</si>
  <si>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</si>
  <si>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</si>
  <si>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</si>
  <si>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</si>
  <si>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</si>
  <si>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</si>
  <si>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</si>
  <si>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</si>
  <si>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</si>
  <si>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</si>
  <si>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</si>
  <si>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</si>
  <si>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</si>
  <si>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</si>
  <si>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</si>
  <si>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</si>
  <si>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</si>
  <si>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</si>
  <si>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</si>
  <si>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</si>
  <si>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</si>
  <si>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</si>
  <si>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</si>
  <si>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</si>
  <si>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</si>
  <si>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</si>
  <si>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</si>
  <si>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</si>
  <si>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</si>
  <si>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</si>
  <si>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</si>
  <si>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</si>
  <si>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</si>
  <si>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</si>
  <si>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</si>
  <si>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</si>
  <si>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</si>
  <si>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</si>
  <si>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</si>
  <si>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</si>
  <si>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</si>
  <si>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</si>
  <si>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</si>
  <si>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</si>
  <si>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</si>
  <si>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</si>
  <si>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</si>
  <si>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</si>
  <si>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</si>
  <si>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</si>
  <si>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</si>
  <si>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</si>
  <si>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</si>
  <si>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</si>
  <si>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</si>
  <si>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</si>
  <si>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</si>
  <si>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</si>
  <si>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</si>
  <si>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</si>
  <si>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</si>
  <si>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</si>
  <si>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</si>
  <si>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</si>
  <si>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</si>
  <si>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</si>
  <si>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</si>
  <si>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</si>
  <si>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</si>
  <si>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</si>
  <si>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</si>
  <si>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</si>
  <si>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</si>
  <si>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</si>
  <si>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</si>
  <si>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</si>
  <si>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</si>
  <si>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</si>
  <si>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</si>
  <si>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</si>
  <si>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</si>
  <si>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</si>
  <si>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</si>
  <si>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</si>
  <si>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</si>
  <si>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</si>
  <si>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</si>
  <si>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</si>
  <si>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</si>
  <si>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</si>
  <si>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</si>
  <si>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</si>
  <si>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</si>
  <si>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</si>
  <si>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</si>
  <si>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</si>
  <si>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</si>
  <si>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</si>
  <si>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</si>
  <si>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</si>
  <si>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</si>
  <si>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</si>
  <si>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</si>
  <si>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</si>
  <si>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</si>
  <si>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</si>
  <si>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</si>
  <si>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</si>
  <si>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</si>
  <si>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</si>
  <si>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</si>
  <si>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</si>
  <si>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</si>
  <si>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</si>
  <si>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</si>
  <si>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</si>
  <si>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</si>
  <si>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</si>
  <si>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</si>
  <si>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</si>
  <si>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</si>
  <si>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</si>
  <si>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</si>
  <si>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</si>
  <si>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</si>
  <si>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</si>
  <si>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</si>
  <si>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</si>
  <si>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</si>
  <si>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</si>
  <si>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</si>
  <si>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</si>
  <si>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</si>
  <si>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</si>
  <si>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</si>
  <si>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</si>
  <si>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</si>
  <si>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</si>
  <si>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</si>
  <si>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</si>
  <si>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</si>
  <si>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</si>
  <si>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</si>
  <si>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</si>
  <si>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</si>
  <si>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</si>
  <si>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</si>
  <si>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</si>
  <si>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</si>
  <si>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</si>
  <si>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</si>
  <si>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</si>
  <si>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</si>
  <si>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</si>
  <si>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</si>
  <si>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</si>
  <si>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</si>
  <si>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</si>
  <si>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</si>
  <si>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</si>
  <si>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</si>
  <si>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</si>
  <si>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</si>
  <si>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</si>
  <si>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</si>
  <si>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</si>
  <si>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</si>
  <si>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</si>
  <si>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</si>
  <si>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</si>
  <si>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</si>
  <si>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</si>
  <si>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</si>
  <si>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</si>
  <si>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</si>
  <si>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</si>
  <si>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</si>
  <si>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</si>
  <si>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</si>
  <si>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</si>
  <si>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</si>
  <si>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</si>
  <si>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</si>
  <si>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</si>
  <si>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</si>
  <si>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</si>
  <si>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</si>
  <si>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</si>
  <si>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</si>
  <si>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</si>
  <si>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</si>
  <si>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</si>
  <si>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</si>
  <si>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</si>
  <si>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</si>
  <si>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</si>
  <si>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</si>
  <si>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</si>
  <si>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</si>
  <si>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</si>
  <si>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</si>
  <si>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</si>
  <si>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</si>
  <si>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</si>
  <si>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</si>
  <si>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</si>
  <si>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</si>
  <si>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</si>
  <si>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</si>
  <si>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</si>
  <si>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</si>
  <si>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</si>
  <si>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</si>
  <si>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</si>
  <si>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</si>
  <si>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</si>
  <si>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</si>
  <si>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</si>
  <si>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</si>
  <si>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</si>
  <si>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</si>
  <si>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</si>
  <si>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</si>
  <si>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</si>
  <si>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</si>
  <si>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</si>
  <si>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</si>
  <si>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</si>
  <si>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</si>
  <si>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</si>
  <si>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</si>
  <si>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</si>
  <si>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</si>
  <si>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</si>
  <si>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</si>
  <si>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</si>
  <si>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</si>
  <si>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</si>
  <si>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</si>
  <si>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</si>
  <si>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</si>
  <si>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</si>
  <si>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</si>
  <si>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</si>
  <si>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</si>
  <si>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</si>
  <si>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</si>
  <si>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</si>
  <si>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</si>
  <si>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</si>
  <si>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</si>
  <si>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</si>
  <si>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</si>
  <si>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</si>
  <si>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</si>
  <si>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</si>
  <si>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</si>
  <si>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</si>
  <si>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</si>
  <si>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</si>
  <si>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</si>
  <si>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</si>
  <si>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</si>
  <si>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</si>
  <si>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</si>
  <si>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</si>
  <si>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</si>
  <si>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</si>
  <si>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</si>
  <si>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</si>
  <si>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</si>
  <si>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</si>
  <si>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</si>
  <si>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</si>
  <si>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</si>
  <si>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</si>
  <si>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</si>
  <si>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</si>
  <si>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</si>
  <si>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</si>
  <si>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</si>
  <si>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</si>
  <si>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</si>
  <si>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</si>
  <si>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</si>
  <si>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</si>
  <si>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</si>
  <si>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</si>
  <si>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</si>
  <si>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</si>
  <si>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</si>
  <si>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</si>
  <si>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</si>
  <si>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</si>
  <si>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</si>
  <si>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</si>
  <si>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</si>
  <si>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</si>
  <si>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</si>
  <si>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</si>
  <si>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</si>
  <si>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</si>
  <si>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</si>
  <si>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</si>
  <si>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</si>
  <si>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</si>
  <si>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</si>
  <si>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</si>
  <si>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Energieversorgung Filstal GmbH &amp; Co. KG</t>
  </si>
  <si>
    <t>Großeislinger Straße 30</t>
  </si>
  <si>
    <t>Göppingen</t>
  </si>
  <si>
    <t>EDM</t>
  </si>
  <si>
    <t>edm-gas@evf.de</t>
  </si>
  <si>
    <t>07161 6101 280</t>
  </si>
  <si>
    <t>Netz</t>
  </si>
  <si>
    <t>9870078000006</t>
  </si>
  <si>
    <t>NCHN007007800000</t>
  </si>
  <si>
    <t>Notzingen</t>
  </si>
  <si>
    <t>DE_HEF04</t>
  </si>
  <si>
    <t>DE_HMF04</t>
  </si>
  <si>
    <t>DE_GMK03</t>
  </si>
  <si>
    <t>DE_GKO04</t>
  </si>
  <si>
    <t>DE_GBD04</t>
  </si>
  <si>
    <t>DE_GGA01</t>
  </si>
  <si>
    <t>DE_GBH03</t>
  </si>
  <si>
    <t>DE_GHA03</t>
  </si>
  <si>
    <t>Q061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</si>
</sst>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49" fontId="12" fillId="0" borderId="0" xfId="3" applyNumberFormat="1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m-gas@evf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9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5" sqref="D5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2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500</v>
      </c>
      <c r="D4" s="27">
        <v>45292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501</v>
      </c>
      <c r="D6" s="27">
        <v>45292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2" t="s">
        <v>664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73033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499</v>
      </c>
      <c r="D28" s="48" t="str">
        <f>IF(D27&lt;&gt;C28,VLOOKUP(D27,$C$29:$D$48,2,FALSE),C28)</f>
        <v>Netz</v>
      </c>
      <c r="E28" s="38"/>
      <c r="F28" s="11"/>
      <c r="G28" s="2"/>
    </row>
    <row r="29" spans="1:15">
      <c r="B29" s="15"/>
      <c r="C29" s="22" t="s">
        <v>393</v>
      </c>
      <c r="D29" s="45" t="s">
        <v>663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8" sqref="D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Energieversorgung Filstal GmbH &amp; Co. KG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Netz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61" t="str">
        <f>Netzbetreiber!$D$11</f>
        <v>9870078000006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45292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7" t="s">
        <v>616</v>
      </c>
      <c r="I11" s="277" t="s">
        <v>617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653</v>
      </c>
      <c r="D13" s="42" t="s">
        <v>665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575</v>
      </c>
      <c r="I16" s="276" t="s">
        <v>486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487</v>
      </c>
      <c r="I17" s="276" t="s">
        <v>488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613</v>
      </c>
      <c r="D19" s="49" t="s">
        <v>609</v>
      </c>
      <c r="E19" s="15"/>
      <c r="H19" s="273" t="s">
        <v>609</v>
      </c>
      <c r="I19" s="273" t="s">
        <v>610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618</v>
      </c>
      <c r="E20" s="15"/>
      <c r="H20" s="273" t="s">
        <v>612</v>
      </c>
      <c r="I20" s="8" t="s">
        <v>608</v>
      </c>
      <c r="J20" s="8"/>
      <c r="K20" s="8"/>
      <c r="L20" s="274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3" t="s">
        <v>611</v>
      </c>
      <c r="I21" s="273" t="s">
        <v>618</v>
      </c>
      <c r="J21" s="8"/>
      <c r="K21" s="8"/>
      <c r="L21" s="276" t="s">
        <v>619</v>
      </c>
      <c r="M21" s="276" t="s">
        <v>621</v>
      </c>
      <c r="N21" s="276" t="s">
        <v>620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622</v>
      </c>
      <c r="D24" s="42" t="s">
        <v>623</v>
      </c>
      <c r="E24" s="15"/>
      <c r="H24" s="309" t="s">
        <v>623</v>
      </c>
      <c r="I24" s="275" t="s">
        <v>624</v>
      </c>
      <c r="J24" s="275" t="s">
        <v>625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626</v>
      </c>
      <c r="I25" s="276" t="s">
        <v>627</v>
      </c>
      <c r="J25" s="276" t="s">
        <v>628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629</v>
      </c>
      <c r="I26" s="276" t="s">
        <v>630</v>
      </c>
      <c r="J26" s="276" t="s">
        <v>631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632</v>
      </c>
      <c r="I29" s="276" t="s">
        <v>633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634</v>
      </c>
      <c r="I30" s="273" t="s">
        <v>629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491</v>
      </c>
      <c r="C32" s="24" t="s">
        <v>493</v>
      </c>
      <c r="D32" s="269">
        <v>9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3"/>
      <c r="J34" s="273"/>
      <c r="K34" s="273"/>
      <c r="L34" s="273"/>
      <c r="M34" s="274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60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5" t="s">
        <v>666</v>
      </c>
    </row>
    <row r="46" spans="2:39" ht="18" customHeight="1">
      <c r="C46" s="22" t="s">
        <v>587</v>
      </c>
      <c r="D46" s="45"/>
    </row>
    <row r="47" spans="2:39" ht="18" customHeight="1">
      <c r="C47" s="22" t="s">
        <v>588</v>
      </c>
      <c r="D47" s="45"/>
    </row>
    <row r="48" spans="2:39" ht="18" customHeight="1">
      <c r="C48" s="22" t="s">
        <v>589</v>
      </c>
      <c r="D48" s="45"/>
    </row>
    <row r="49" spans="3:4" ht="18" customHeight="1">
      <c r="C49" s="22" t="s">
        <v>590</v>
      </c>
      <c r="D49" s="45"/>
    </row>
    <row r="50" spans="3:4" ht="18" customHeight="1">
      <c r="C50" s="22" t="s">
        <v>591</v>
      </c>
      <c r="D50" s="45"/>
    </row>
    <row r="51" spans="3:4" ht="18" customHeight="1">
      <c r="C51" s="22" t="s">
        <v>592</v>
      </c>
      <c r="D51" s="45"/>
    </row>
    <row r="52" spans="3:4" ht="18" customHeight="1">
      <c r="C52" s="22" t="s">
        <v>593</v>
      </c>
      <c r="D52" s="45"/>
    </row>
    <row r="53" spans="3:4" ht="18" customHeight="1">
      <c r="C53" s="22" t="s">
        <v>594</v>
      </c>
      <c r="D53" s="45"/>
    </row>
    <row r="54" spans="3:4" ht="18" customHeight="1">
      <c r="C54" s="22" t="s">
        <v>595</v>
      </c>
      <c r="D54" s="45"/>
    </row>
    <row r="55" spans="3:4" ht="18" customHeight="1">
      <c r="C55" s="22" t="s">
        <v>596</v>
      </c>
      <c r="D55" s="45"/>
    </row>
    <row r="56" spans="3:4" ht="18" customHeight="1">
      <c r="C56" s="22" t="s">
        <v>597</v>
      </c>
      <c r="D56" s="45"/>
    </row>
    <row r="57" spans="3:4" ht="18" customHeight="1">
      <c r="C57" s="22" t="s">
        <v>598</v>
      </c>
      <c r="D57" s="45"/>
    </row>
    <row r="58" spans="3:4" ht="18" customHeight="1">
      <c r="C58" s="22" t="s">
        <v>599</v>
      </c>
      <c r="D58" s="45"/>
    </row>
    <row r="59" spans="3:4" ht="18" customHeight="1">
      <c r="C59" s="22" t="s">
        <v>600</v>
      </c>
      <c r="D59" s="45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F10" sqref="F10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544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657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Netz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353" t="s">
        <v>664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44105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585</v>
      </c>
      <c r="D10" s="131"/>
      <c r="E10" s="131"/>
      <c r="F10" s="300">
        <v>1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603</v>
      </c>
      <c r="D11" s="131"/>
      <c r="E11" s="131"/>
      <c r="F11" s="297" t="str">
        <f>INDEX('SLP-Verfahren'!D45:D59,'SLP-Temp-Gebiet #01'!F10)</f>
        <v>Notzingen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4" t="s">
        <v>584</v>
      </c>
      <c r="D13" s="354"/>
      <c r="E13" s="354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5" t="s">
        <v>445</v>
      </c>
      <c r="D14" s="355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1:56" ht="19.5" customHeight="1">
      <c r="B15" s="131"/>
      <c r="C15" s="355" t="s">
        <v>385</v>
      </c>
      <c r="D15" s="355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/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517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523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525</v>
      </c>
      <c r="D21" s="154" t="s">
        <v>515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537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520</v>
      </c>
      <c r="D24" s="189"/>
      <c r="E24" s="157" t="s">
        <v>666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514</v>
      </c>
      <c r="D25" s="189"/>
      <c r="E25" s="161" t="s">
        <v>675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503</v>
      </c>
      <c r="F26" s="157" t="s">
        <v>503</v>
      </c>
      <c r="G26" s="157" t="s">
        <v>503</v>
      </c>
      <c r="H26" s="157" t="s">
        <v>503</v>
      </c>
      <c r="I26" s="157" t="s">
        <v>503</v>
      </c>
      <c r="J26" s="157" t="s">
        <v>503</v>
      </c>
      <c r="K26" s="157" t="s">
        <v>503</v>
      </c>
      <c r="L26" s="157" t="s">
        <v>503</v>
      </c>
      <c r="M26" s="157" t="s">
        <v>503</v>
      </c>
      <c r="N26" s="157" t="s">
        <v>503</v>
      </c>
      <c r="O26" s="186" t="s">
        <v>142</v>
      </c>
      <c r="Q26" s="212"/>
      <c r="R26" s="210" t="s">
        <v>503</v>
      </c>
      <c r="S26" s="210" t="s">
        <v>655</v>
      </c>
      <c r="T26" s="210" t="s">
        <v>656</v>
      </c>
      <c r="U26" s="210" t="s">
        <v>504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654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/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143</v>
      </c>
      <c r="P27" s="13"/>
      <c r="Q27" s="212"/>
      <c r="R27" s="210" t="s">
        <v>503</v>
      </c>
      <c r="S27" s="210" t="s">
        <v>504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519</v>
      </c>
      <c r="D29" s="131"/>
      <c r="E29" s="131"/>
      <c r="F29" s="49">
        <v>4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1</v>
      </c>
      <c r="G30" s="179">
        <f t="shared" si="2"/>
        <v>1</v>
      </c>
      <c r="H30" s="179">
        <f t="shared" si="2"/>
        <v>1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526</v>
      </c>
      <c r="D32" s="187" t="s">
        <v>255</v>
      </c>
      <c r="E32" s="288">
        <f>1-SUMPRODUCT(F30:N30,F32:N32)</f>
        <v>0.5333</v>
      </c>
      <c r="F32" s="288">
        <f>ROUND(F33/$D$33,4)</f>
        <v>0.26669999999999999</v>
      </c>
      <c r="G32" s="288">
        <f t="shared" ref="G32:N32" si="3">ROUND(G33/$D$33,4)</f>
        <v>0.1333</v>
      </c>
      <c r="H32" s="288">
        <f t="shared" si="3"/>
        <v>6.6699999999999995E-2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533</v>
      </c>
      <c r="D33" s="294">
        <f>SUMPRODUCT(E33:N33,E30:N30)</f>
        <v>1.875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 t="s">
        <v>357</v>
      </c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448</v>
      </c>
      <c r="D35" s="154" t="s">
        <v>447</v>
      </c>
      <c r="E35" s="157" t="s">
        <v>511</v>
      </c>
      <c r="F35" s="157" t="s">
        <v>511</v>
      </c>
      <c r="G35" s="157" t="s">
        <v>511</v>
      </c>
      <c r="H35" s="157" t="s">
        <v>511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511</v>
      </c>
      <c r="S35" s="68" t="s">
        <v>512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605</v>
      </c>
      <c r="D36" s="154" t="s">
        <v>606</v>
      </c>
      <c r="E36" s="157" t="s">
        <v>604</v>
      </c>
      <c r="F36" s="157" t="s">
        <v>604</v>
      </c>
      <c r="G36" s="157" t="s">
        <v>604</v>
      </c>
      <c r="H36" s="157" t="s">
        <v>604</v>
      </c>
      <c r="I36" s="157" t="s">
        <v>604</v>
      </c>
      <c r="J36" s="157" t="s">
        <v>604</v>
      </c>
      <c r="K36" s="157" t="s">
        <v>604</v>
      </c>
      <c r="L36" s="157" t="s">
        <v>604</v>
      </c>
      <c r="M36" s="157" t="s">
        <v>604</v>
      </c>
      <c r="N36" s="157" t="s">
        <v>604</v>
      </c>
      <c r="O36" s="186" t="s">
        <v>142</v>
      </c>
      <c r="Q36" s="212"/>
      <c r="R36" s="68" t="s">
        <v>604</v>
      </c>
      <c r="S36" s="68" t="s">
        <v>607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440</v>
      </c>
      <c r="D37" s="120" t="s">
        <v>538</v>
      </c>
      <c r="E37" s="163" t="s">
        <v>449</v>
      </c>
      <c r="F37" s="163" t="s">
        <v>449</v>
      </c>
      <c r="G37" s="163" t="s">
        <v>450</v>
      </c>
      <c r="H37" s="163" t="s">
        <v>450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347</v>
      </c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524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530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535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536</v>
      </c>
      <c r="D47" s="202" t="s">
        <v>534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534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360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579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543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518</v>
      </c>
      <c r="D55" s="181" t="s">
        <v>513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525</v>
      </c>
      <c r="D56" s="154" t="s">
        <v>515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537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DWD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520</v>
      </c>
      <c r="D59" s="189"/>
      <c r="E59" s="157" t="str">
        <f>E24</f>
        <v>Notzingen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521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514</v>
      </c>
      <c r="D60" s="189"/>
      <c r="E60" s="161" t="str">
        <f>E25</f>
        <v>Q061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Temp. (2m)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519</v>
      </c>
      <c r="D63" s="131"/>
      <c r="E63" s="131"/>
      <c r="F63" s="158">
        <f>F29</f>
        <v>4</v>
      </c>
    </row>
    <row r="64" spans="2:28" ht="15" customHeight="1">
      <c r="E64" s="179">
        <f>IF(E65&gt;$F$63,0,1)</f>
        <v>1</v>
      </c>
      <c r="F64" s="179">
        <f t="shared" ref="F64:N64" si="11">IF(F65&gt;$F$63,0,1)</f>
        <v>1</v>
      </c>
      <c r="G64" s="179">
        <f t="shared" si="11"/>
        <v>1</v>
      </c>
      <c r="H64" s="179">
        <f t="shared" si="11"/>
        <v>1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526</v>
      </c>
      <c r="D66" s="187" t="s">
        <v>255</v>
      </c>
      <c r="E66" s="288">
        <f>1-SUMPRODUCT(F64:N64,F66:N66)</f>
        <v>0.5333</v>
      </c>
      <c r="F66" s="288">
        <f>ROUND(F67/$D$67,4)</f>
        <v>0.26669999999999999</v>
      </c>
      <c r="G66" s="288">
        <f t="shared" ref="G66:N66" si="12">ROUND(G67/$D$67,4)</f>
        <v>0.1333</v>
      </c>
      <c r="H66" s="288">
        <f t="shared" si="12"/>
        <v>6.6699999999999995E-2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533</v>
      </c>
      <c r="D67" s="187">
        <f>SUMPRODUCT(E67:N67,E64:N64)</f>
        <v>1.875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448</v>
      </c>
      <c r="D69" s="154" t="s">
        <v>447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605</v>
      </c>
      <c r="D70" s="154" t="s">
        <v>606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440</v>
      </c>
      <c r="D71" s="120" t="s">
        <v>538</v>
      </c>
      <c r="E71" s="164" t="s">
        <v>450</v>
      </c>
      <c r="F71" s="164" t="s">
        <v>450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6" t="s">
        <v>580</v>
      </c>
      <c r="D73" s="356"/>
      <c r="E73" s="356"/>
      <c r="F73" s="356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G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544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Netz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585</v>
      </c>
      <c r="D10" s="131"/>
      <c r="E10" s="131"/>
      <c r="F10" s="300">
        <v>2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603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4" t="s">
        <v>584</v>
      </c>
      <c r="D13" s="354"/>
      <c r="E13" s="354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5" t="s">
        <v>445</v>
      </c>
      <c r="D14" s="355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1:56" ht="19.5" customHeight="1">
      <c r="B15" s="131"/>
      <c r="C15" s="355" t="s">
        <v>385</v>
      </c>
      <c r="D15" s="355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 t="s">
        <v>528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517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523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525</v>
      </c>
      <c r="D21" s="154" t="s">
        <v>515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537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520</v>
      </c>
      <c r="D24" s="189"/>
      <c r="E24" s="157" t="s">
        <v>581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514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503</v>
      </c>
      <c r="F26" s="157" t="s">
        <v>503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503</v>
      </c>
      <c r="S26" s="68" t="s">
        <v>504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519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526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533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>
      <c r="B34" s="184"/>
      <c r="C34" s="188" t="s">
        <v>448</v>
      </c>
      <c r="D34" s="154" t="s">
        <v>447</v>
      </c>
      <c r="E34" s="157" t="s">
        <v>511</v>
      </c>
      <c r="F34" s="157" t="s">
        <v>511</v>
      </c>
      <c r="G34" s="157" t="s">
        <v>511</v>
      </c>
      <c r="H34" s="157" t="s">
        <v>511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511</v>
      </c>
      <c r="S34" s="68" t="s">
        <v>512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605</v>
      </c>
      <c r="D35" s="154" t="s">
        <v>606</v>
      </c>
      <c r="E35" s="157" t="s">
        <v>604</v>
      </c>
      <c r="F35" s="157" t="s">
        <v>604</v>
      </c>
      <c r="G35" s="157" t="s">
        <v>604</v>
      </c>
      <c r="H35" s="157" t="s">
        <v>604</v>
      </c>
      <c r="I35" s="157" t="s">
        <v>604</v>
      </c>
      <c r="J35" s="157" t="s">
        <v>604</v>
      </c>
      <c r="K35" s="157" t="s">
        <v>604</v>
      </c>
      <c r="L35" s="157" t="s">
        <v>604</v>
      </c>
      <c r="M35" s="157" t="s">
        <v>604</v>
      </c>
      <c r="N35" s="157" t="s">
        <v>604</v>
      </c>
      <c r="O35" s="186" t="s">
        <v>142</v>
      </c>
      <c r="Q35" s="212"/>
      <c r="R35" s="68" t="s">
        <v>604</v>
      </c>
      <c r="S35" s="68" t="s">
        <v>607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440</v>
      </c>
      <c r="D36" s="120" t="s">
        <v>538</v>
      </c>
      <c r="E36" s="163" t="s">
        <v>449</v>
      </c>
      <c r="F36" s="163" t="s">
        <v>449</v>
      </c>
      <c r="G36" s="163" t="s">
        <v>450</v>
      </c>
      <c r="H36" s="163" t="s">
        <v>450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347</v>
      </c>
      <c r="D39" s="199"/>
      <c r="E39" s="199" t="s">
        <v>531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532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524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529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530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535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536</v>
      </c>
      <c r="D46" s="202" t="s">
        <v>534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360</v>
      </c>
      <c r="K46" s="199"/>
      <c r="L46" s="199"/>
      <c r="M46" s="199"/>
      <c r="N46" s="199"/>
      <c r="O46" s="200"/>
    </row>
    <row r="47" spans="2:28">
      <c r="B47" s="194"/>
      <c r="C47" s="201" t="s">
        <v>346</v>
      </c>
      <c r="D47" s="202" t="s">
        <v>534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579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543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518</v>
      </c>
      <c r="D54" s="181" t="s">
        <v>513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525</v>
      </c>
      <c r="D55" s="154" t="s">
        <v>515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537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520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521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519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526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533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>
      <c r="B68" s="184"/>
      <c r="C68" s="188" t="s">
        <v>448</v>
      </c>
      <c r="D68" s="154" t="s">
        <v>447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>
      <c r="B69" s="184"/>
      <c r="C69" s="188" t="s">
        <v>605</v>
      </c>
      <c r="D69" s="154" t="s">
        <v>606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>
      <c r="B70" s="184"/>
      <c r="C70" s="193" t="s">
        <v>440</v>
      </c>
      <c r="D70" s="120" t="s">
        <v>538</v>
      </c>
      <c r="E70" s="164" t="s">
        <v>450</v>
      </c>
      <c r="F70" s="164" t="s">
        <v>450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/>
    <row r="72" spans="2:15" ht="15.75" customHeight="1">
      <c r="C72" s="356" t="s">
        <v>580</v>
      </c>
      <c r="D72" s="356"/>
      <c r="E72" s="356"/>
      <c r="F72" s="356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7" zoomScale="80" zoomScaleNormal="80" workbookViewId="0">
      <selection activeCell="F12" sqref="F12:F20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1.85546875" style="129" customWidth="1"/>
    <col min="17" max="17" width="9.42578125" style="129" bestFit="1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Energieversorgung Filstal GmbH &amp; Co. KG</v>
      </c>
      <c r="E5" s="131"/>
      <c r="H5" s="89" t="s">
        <v>495</v>
      </c>
      <c r="I5" s="132" t="s">
        <v>498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Netz</v>
      </c>
      <c r="E6" s="131"/>
      <c r="F6" s="131"/>
      <c r="I6" s="132" t="s">
        <v>508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54" t="str">
        <f>Netzbetreiber!$D$11</f>
        <v>9870078000006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45292</v>
      </c>
      <c r="E8" s="131"/>
      <c r="F8" s="131"/>
      <c r="H8" s="129" t="s">
        <v>493</v>
      </c>
      <c r="J8" s="133">
        <f>COUNTA(D12:D100)</f>
        <v>9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249</v>
      </c>
      <c r="C10" s="136" t="s">
        <v>492</v>
      </c>
      <c r="D10" s="135" t="s">
        <v>147</v>
      </c>
      <c r="E10" s="278" t="s">
        <v>510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635</v>
      </c>
      <c r="M10" s="151" t="s">
        <v>644</v>
      </c>
      <c r="N10" s="152" t="s">
        <v>645</v>
      </c>
      <c r="O10" s="152" t="s">
        <v>646</v>
      </c>
      <c r="P10" s="153" t="s">
        <v>647</v>
      </c>
      <c r="Q10" s="147" t="s">
        <v>636</v>
      </c>
      <c r="R10" s="137" t="s">
        <v>637</v>
      </c>
      <c r="S10" s="138" t="s">
        <v>638</v>
      </c>
      <c r="T10" s="138" t="s">
        <v>639</v>
      </c>
      <c r="U10" s="138" t="s">
        <v>640</v>
      </c>
      <c r="V10" s="138" t="s">
        <v>641</v>
      </c>
      <c r="W10" s="138" t="s">
        <v>642</v>
      </c>
      <c r="X10" s="139" t="s">
        <v>643</v>
      </c>
      <c r="Y10" s="306" t="s">
        <v>648</v>
      </c>
    </row>
    <row r="11" spans="2:26" ht="15.75" thickBot="1">
      <c r="B11" s="140" t="s">
        <v>494</v>
      </c>
      <c r="C11" s="141" t="s">
        <v>509</v>
      </c>
      <c r="D11" s="305" t="s">
        <v>248</v>
      </c>
      <c r="E11" s="165" t="s">
        <v>516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>
      <c r="B12" s="142">
        <v>1</v>
      </c>
      <c r="C12" s="143" t="str">
        <f t="shared" ref="C12:C41" si="0">$D$6</f>
        <v>Netz</v>
      </c>
      <c r="D12" s="63" t="s">
        <v>248</v>
      </c>
      <c r="E12" s="166" t="s">
        <v>667</v>
      </c>
      <c r="F12" s="308" t="str">
        <f>VLOOKUP($E12,'BDEW-Standard'!$B$3:$M$94,F$9,0)</f>
        <v>D14</v>
      </c>
      <c r="H12" s="279">
        <f>ROUND(VLOOKUP($E12,'BDEW-Standard'!$B$3:$M$94,H$9,0),7)</f>
        <v>3.1850190999999999</v>
      </c>
      <c r="I12" s="279">
        <f>ROUND(VLOOKUP($E12,'BDEW-Standard'!$B$3:$M$94,I$9,0),7)</f>
        <v>-37.412415500000002</v>
      </c>
      <c r="J12" s="279">
        <f>ROUND(VLOOKUP($E12,'BDEW-Standard'!$B$3:$M$94,J$9,0),7)</f>
        <v>6.1723179000000004</v>
      </c>
      <c r="K12" s="279">
        <f>ROUND(VLOOKUP($E12,'BDEW-Standard'!$B$3:$M$94,K$9,0),7)</f>
        <v>7.6109599999999999E-2</v>
      </c>
      <c r="L12" s="280">
        <f>ROUND(VLOOKUP($E12,'BDEW-Standard'!$B$3:$M$94,L$9,0),1)</f>
        <v>40</v>
      </c>
      <c r="M12" s="279">
        <f>ROUND(VLOOKUP($E12,'BDEW-Standard'!$B$3:$M$94,M$9,0),7)</f>
        <v>0</v>
      </c>
      <c r="N12" s="279">
        <f>ROUND(VLOOKUP($E12,'BDEW-Standard'!$B$3:$M$94,N$9,0),7)</f>
        <v>0</v>
      </c>
      <c r="O12" s="279">
        <f>ROUND(VLOOKUP($E12,'BDEW-Standard'!$B$3:$M$94,O$9,0),7)</f>
        <v>0</v>
      </c>
      <c r="P12" s="279">
        <f>ROUND(VLOOKUP($E12,'BDEW-Standard'!$B$3:$M$94,P$9,0),7)</f>
        <v>0</v>
      </c>
      <c r="Q12" s="281">
        <f t="shared" ref="Q12:Q20" si="1">($H12/(1+($I12/($Q$9-$L12))^$J12)+$K12)+MAX($M12*$Q$9+$N12,$O12*$Q$9+$P12)</f>
        <v>0.95508749343949439</v>
      </c>
      <c r="R12" s="282">
        <f>ROUND(VLOOKUP(MID($E12,4,3),'Wochentag F(WT)'!$B$7:$J$22,R$9,0),4)</f>
        <v>1</v>
      </c>
      <c r="S12" s="282">
        <f>ROUND(VLOOKUP(MID($E12,4,3),'Wochentag F(WT)'!$B$7:$J$22,S$9,0),4)</f>
        <v>1</v>
      </c>
      <c r="T12" s="282">
        <f>ROUND(VLOOKUP(MID($E12,4,3),'Wochentag F(WT)'!$B$7:$J$22,T$9,0),4)</f>
        <v>1</v>
      </c>
      <c r="U12" s="282">
        <f>ROUND(VLOOKUP(MID($E12,4,3),'Wochentag F(WT)'!$B$7:$J$22,U$9,0),4)</f>
        <v>1</v>
      </c>
      <c r="V12" s="282">
        <f>ROUND(VLOOKUP(MID($E12,4,3),'Wochentag F(WT)'!$B$7:$J$22,V$9,0),4)</f>
        <v>1</v>
      </c>
      <c r="W12" s="282">
        <f>ROUND(VLOOKUP(MID($E12,4,3),'Wochentag F(WT)'!$B$7:$J$22,W$9,0),4)</f>
        <v>1</v>
      </c>
      <c r="X12" s="283">
        <f>7-SUM(R12:W12)</f>
        <v>1</v>
      </c>
      <c r="Y12" s="304">
        <v>307.75666666666666</v>
      </c>
      <c r="Z12" s="213"/>
    </row>
    <row r="13" spans="2:26" s="144" customFormat="1">
      <c r="B13" s="145">
        <v>2</v>
      </c>
      <c r="C13" s="146" t="str">
        <f t="shared" si="0"/>
        <v>Netz</v>
      </c>
      <c r="D13" s="63" t="s">
        <v>248</v>
      </c>
      <c r="E13" s="166" t="s">
        <v>668</v>
      </c>
      <c r="F13" s="308" t="str">
        <f>VLOOKUP($E13,'BDEW-Standard'!$B$3:$M$94,F$9,0)</f>
        <v>D24</v>
      </c>
      <c r="H13" s="279">
        <f>ROUND(VLOOKUP($E13,'BDEW-Standard'!$B$3:$M$94,H$9,0),7)</f>
        <v>2.5187775000000001</v>
      </c>
      <c r="I13" s="279">
        <f>ROUND(VLOOKUP($E13,'BDEW-Standard'!$B$3:$M$94,I$9,0),7)</f>
        <v>-35.033375399999997</v>
      </c>
      <c r="J13" s="279">
        <f>ROUND(VLOOKUP($E13,'BDEW-Standard'!$B$3:$M$94,J$9,0),7)</f>
        <v>6.2240634000000004</v>
      </c>
      <c r="K13" s="279">
        <f>ROUND(VLOOKUP($E13,'BDEW-Standard'!$B$3:$M$94,K$9,0),7)</f>
        <v>0.10107820000000001</v>
      </c>
      <c r="L13" s="280">
        <f>ROUND(VLOOKUP($E13,'BDEW-Standard'!$B$3:$M$94,L$9,0),1)</f>
        <v>40</v>
      </c>
      <c r="M13" s="279">
        <f>ROUND(VLOOKUP($E13,'BDEW-Standard'!$B$3:$M$94,M$9,0),7)</f>
        <v>0</v>
      </c>
      <c r="N13" s="279">
        <f>ROUND(VLOOKUP($E13,'BDEW-Standard'!$B$3:$M$94,N$9,0),7)</f>
        <v>0</v>
      </c>
      <c r="O13" s="279">
        <f>ROUND(VLOOKUP($E13,'BDEW-Standard'!$B$3:$M$94,O$9,0),7)</f>
        <v>0</v>
      </c>
      <c r="P13" s="279">
        <f>ROUND(VLOOKUP($E13,'BDEW-Standard'!$B$3:$M$94,P$9,0),7)</f>
        <v>0</v>
      </c>
      <c r="Q13" s="281">
        <f t="shared" si="1"/>
        <v>1.0146273685996503</v>
      </c>
      <c r="R13" s="282">
        <f>ROUND(VLOOKUP(MID($E13,4,3),'Wochentag F(WT)'!$B$7:$J$22,R$9,0),4)</f>
        <v>1</v>
      </c>
      <c r="S13" s="282">
        <f>ROUND(VLOOKUP(MID($E13,4,3),'Wochentag F(WT)'!$B$7:$J$22,S$9,0),4)</f>
        <v>1</v>
      </c>
      <c r="T13" s="282">
        <f>ROUND(VLOOKUP(MID($E13,4,3),'Wochentag F(WT)'!$B$7:$J$22,T$9,0),4)</f>
        <v>1</v>
      </c>
      <c r="U13" s="282">
        <f>ROUND(VLOOKUP(MID($E13,4,3),'Wochentag F(WT)'!$B$7:$J$22,U$9,0),4)</f>
        <v>1</v>
      </c>
      <c r="V13" s="282">
        <f>ROUND(VLOOKUP(MID($E13,4,3),'Wochentag F(WT)'!$B$7:$J$22,V$9,0),4)</f>
        <v>1</v>
      </c>
      <c r="W13" s="282">
        <f>ROUND(VLOOKUP(MID($E13,4,3),'Wochentag F(WT)'!$B$7:$J$22,W$9,0),4)</f>
        <v>1</v>
      </c>
      <c r="X13" s="283">
        <f t="shared" ref="X13:X20" si="2">7-SUM(R13:W13)</f>
        <v>1</v>
      </c>
      <c r="Y13" s="304">
        <v>312.48833333333329</v>
      </c>
      <c r="Z13" s="213"/>
    </row>
    <row r="14" spans="2:26" s="144" customFormat="1">
      <c r="B14" s="145">
        <v>3</v>
      </c>
      <c r="C14" s="146" t="str">
        <f t="shared" si="0"/>
        <v>Netz</v>
      </c>
      <c r="D14" s="63" t="s">
        <v>248</v>
      </c>
      <c r="E14" s="166" t="s">
        <v>4</v>
      </c>
      <c r="F14" s="308" t="str">
        <f>VLOOKUP($E14,'BDEW-Standard'!$B$3:$M$94,F$9,0)</f>
        <v>HK3</v>
      </c>
      <c r="H14" s="279">
        <f>ROUND(VLOOKUP($E14,'BDEW-Standard'!$B$3:$M$94,H$9,0),7)</f>
        <v>0.40409319999999999</v>
      </c>
      <c r="I14" s="279">
        <f>ROUND(VLOOKUP($E14,'BDEW-Standard'!$B$3:$M$94,I$9,0),7)</f>
        <v>-24.439296800000001</v>
      </c>
      <c r="J14" s="279">
        <f>ROUND(VLOOKUP($E14,'BDEW-Standard'!$B$3:$M$94,J$9,0),7)</f>
        <v>6.5718174999999999</v>
      </c>
      <c r="K14" s="279">
        <f>ROUND(VLOOKUP($E14,'BDEW-Standard'!$B$3:$M$94,K$9,0),7)</f>
        <v>0.71077100000000004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si="1"/>
        <v>1.0561214000512988</v>
      </c>
      <c r="R14" s="282">
        <f>ROUND(VLOOKUP(MID($E14,4,3),'Wochentag F(WT)'!$B$7:$J$22,R$9,0),4)</f>
        <v>1</v>
      </c>
      <c r="S14" s="282">
        <f>ROUND(VLOOKUP(MID($E14,4,3),'Wochentag F(WT)'!$B$7:$J$22,S$9,0),4)</f>
        <v>1</v>
      </c>
      <c r="T14" s="282">
        <f>ROUND(VLOOKUP(MID($E14,4,3),'Wochentag F(WT)'!$B$7:$J$22,T$9,0),4)</f>
        <v>1</v>
      </c>
      <c r="U14" s="282">
        <f>ROUND(VLOOKUP(MID($E14,4,3),'Wochentag F(WT)'!$B$7:$J$22,U$9,0),4)</f>
        <v>1</v>
      </c>
      <c r="V14" s="282">
        <f>ROUND(VLOOKUP(MID($E14,4,3),'Wochentag F(WT)'!$B$7:$J$22,V$9,0),4)</f>
        <v>1</v>
      </c>
      <c r="W14" s="282">
        <f>ROUND(VLOOKUP(MID($E14,4,3),'Wochentag F(WT)'!$B$7:$J$22,W$9,0),4)</f>
        <v>1</v>
      </c>
      <c r="X14" s="283">
        <f t="shared" si="2"/>
        <v>1</v>
      </c>
      <c r="Y14" s="304">
        <v>356.82066666666668</v>
      </c>
      <c r="Z14" s="213"/>
    </row>
    <row r="15" spans="2:26" s="144" customFormat="1">
      <c r="B15" s="145">
        <v>4</v>
      </c>
      <c r="C15" s="146" t="str">
        <f t="shared" si="0"/>
        <v>Netz</v>
      </c>
      <c r="D15" s="63" t="s">
        <v>248</v>
      </c>
      <c r="E15" s="166" t="s">
        <v>669</v>
      </c>
      <c r="F15" s="308" t="str">
        <f>VLOOKUP($E15,'BDEW-Standard'!$B$3:$M$94,F$9,0)</f>
        <v>MK3</v>
      </c>
      <c r="H15" s="279">
        <f>ROUND(VLOOKUP($E15,'BDEW-Standard'!$B$3:$M$94,H$9,0),7)</f>
        <v>2.7882424000000001</v>
      </c>
      <c r="I15" s="279">
        <f>ROUND(VLOOKUP($E15,'BDEW-Standard'!$B$3:$M$94,I$9,0),7)</f>
        <v>-34.880612999999997</v>
      </c>
      <c r="J15" s="279">
        <f>ROUND(VLOOKUP($E15,'BDEW-Standard'!$B$3:$M$94,J$9,0),7)</f>
        <v>6.5951899000000003</v>
      </c>
      <c r="K15" s="279">
        <f>ROUND(VLOOKUP($E15,'BDEW-Standard'!$B$3:$M$94,K$9,0),7)</f>
        <v>5.4032900000000002E-2</v>
      </c>
      <c r="L15" s="280">
        <f>ROUND(VLOOKUP($E15,'BDEW-Standard'!$B$3:$M$94,L$9,0),1)</f>
        <v>40</v>
      </c>
      <c r="M15" s="279">
        <f>ROUND(VLOOKUP($E15,'BDEW-Standard'!$B$3:$M$94,M$9,0),7)</f>
        <v>0</v>
      </c>
      <c r="N15" s="279">
        <f>ROUND(VLOOKUP($E15,'BDEW-Standard'!$B$3:$M$94,N$9,0),7)</f>
        <v>0</v>
      </c>
      <c r="O15" s="279">
        <f>ROUND(VLOOKUP($E15,'BDEW-Standard'!$B$3:$M$94,O$9,0),7)</f>
        <v>0</v>
      </c>
      <c r="P15" s="279">
        <f>ROUND(VLOOKUP($E15,'BDEW-Standard'!$B$3:$M$94,P$9,0),7)</f>
        <v>0</v>
      </c>
      <c r="Q15" s="281">
        <f t="shared" si="1"/>
        <v>1.0622306107520199</v>
      </c>
      <c r="R15" s="282">
        <f>ROUND(VLOOKUP(MID($E15,4,3),'Wochentag F(WT)'!$B$7:$J$22,R$9,0),4)</f>
        <v>1.0699000000000001</v>
      </c>
      <c r="S15" s="282">
        <f>ROUND(VLOOKUP(MID($E15,4,3),'Wochentag F(WT)'!$B$7:$J$22,S$9,0),4)</f>
        <v>1.0365</v>
      </c>
      <c r="T15" s="282">
        <f>ROUND(VLOOKUP(MID($E15,4,3),'Wochentag F(WT)'!$B$7:$J$22,T$9,0),4)</f>
        <v>0.99329999999999996</v>
      </c>
      <c r="U15" s="282">
        <f>ROUND(VLOOKUP(MID($E15,4,3),'Wochentag F(WT)'!$B$7:$J$22,U$9,0),4)</f>
        <v>0.99480000000000002</v>
      </c>
      <c r="V15" s="282">
        <f>ROUND(VLOOKUP(MID($E15,4,3),'Wochentag F(WT)'!$B$7:$J$22,V$9,0),4)</f>
        <v>1.0659000000000001</v>
      </c>
      <c r="W15" s="282">
        <f>ROUND(VLOOKUP(MID($E15,4,3),'Wochentag F(WT)'!$B$7:$J$22,W$9,0),4)</f>
        <v>0.93620000000000003</v>
      </c>
      <c r="X15" s="283">
        <f t="shared" si="2"/>
        <v>0.90339999999999954</v>
      </c>
      <c r="Y15" s="304">
        <v>323.40566666666672</v>
      </c>
      <c r="Z15" s="213"/>
    </row>
    <row r="16" spans="2:26" s="144" customFormat="1">
      <c r="B16" s="145">
        <v>5</v>
      </c>
      <c r="C16" s="146" t="str">
        <f t="shared" si="0"/>
        <v>Netz</v>
      </c>
      <c r="D16" s="63" t="s">
        <v>248</v>
      </c>
      <c r="E16" s="166" t="s">
        <v>670</v>
      </c>
      <c r="F16" s="308" t="str">
        <f>VLOOKUP($E16,'BDEW-Standard'!$B$3:$M$94,F$9,0)</f>
        <v>KO4</v>
      </c>
      <c r="H16" s="279">
        <f>ROUND(VLOOKUP($E16,'BDEW-Standard'!$B$3:$M$94,H$9,0),7)</f>
        <v>3.4428942999999999</v>
      </c>
      <c r="I16" s="279">
        <f>ROUND(VLOOKUP($E16,'BDEW-Standard'!$B$3:$M$94,I$9,0),7)</f>
        <v>-36.659050399999998</v>
      </c>
      <c r="J16" s="279">
        <f>ROUND(VLOOKUP($E16,'BDEW-Standard'!$B$3:$M$94,J$9,0),7)</f>
        <v>7.6083226000000002</v>
      </c>
      <c r="K16" s="279">
        <f>ROUND(VLOOKUP($E16,'BDEW-Standard'!$B$3:$M$94,K$9,0),7)</f>
        <v>7.4685000000000001E-2</v>
      </c>
      <c r="L16" s="280">
        <f>ROUND(VLOOKUP($E16,'BDEW-Standard'!$B$3:$M$94,L$9,0),1)</f>
        <v>40</v>
      </c>
      <c r="M16" s="279">
        <f>ROUND(VLOOKUP($E16,'BDEW-Standard'!$B$3:$M$94,M$9,0),7)</f>
        <v>0</v>
      </c>
      <c r="N16" s="279">
        <f>ROUND(VLOOKUP($E16,'BDEW-Standard'!$B$3:$M$94,N$9,0),7)</f>
        <v>0</v>
      </c>
      <c r="O16" s="279">
        <f>ROUND(VLOOKUP($E16,'BDEW-Standard'!$B$3:$M$94,O$9,0),7)</f>
        <v>0</v>
      </c>
      <c r="P16" s="279">
        <f>ROUND(VLOOKUP($E16,'BDEW-Standard'!$B$3:$M$94,P$9,0),7)</f>
        <v>0</v>
      </c>
      <c r="Q16" s="281">
        <f t="shared" si="1"/>
        <v>0.97768382110526542</v>
      </c>
      <c r="R16" s="282">
        <f>ROUND(VLOOKUP(MID($E16,4,3),'Wochentag F(WT)'!$B$7:$J$22,R$9,0),4)</f>
        <v>1.0354000000000001</v>
      </c>
      <c r="S16" s="282">
        <f>ROUND(VLOOKUP(MID($E16,4,3),'Wochentag F(WT)'!$B$7:$J$22,S$9,0),4)</f>
        <v>1.0523</v>
      </c>
      <c r="T16" s="282">
        <f>ROUND(VLOOKUP(MID($E16,4,3),'Wochentag F(WT)'!$B$7:$J$22,T$9,0),4)</f>
        <v>1.0448999999999999</v>
      </c>
      <c r="U16" s="282">
        <f>ROUND(VLOOKUP(MID($E16,4,3),'Wochentag F(WT)'!$B$7:$J$22,U$9,0),4)</f>
        <v>1.0494000000000001</v>
      </c>
      <c r="V16" s="282">
        <f>ROUND(VLOOKUP(MID($E16,4,3),'Wochentag F(WT)'!$B$7:$J$22,V$9,0),4)</f>
        <v>0.98850000000000005</v>
      </c>
      <c r="W16" s="282">
        <f>ROUND(VLOOKUP(MID($E16,4,3),'Wochentag F(WT)'!$B$7:$J$22,W$9,0),4)</f>
        <v>0.88600000000000001</v>
      </c>
      <c r="X16" s="283">
        <f t="shared" si="2"/>
        <v>0.94349999999999934</v>
      </c>
      <c r="Y16" s="304">
        <v>328.06633333333332</v>
      </c>
      <c r="Z16" s="213"/>
    </row>
    <row r="17" spans="2:26" s="144" customFormat="1">
      <c r="B17" s="145">
        <v>6</v>
      </c>
      <c r="C17" s="146" t="str">
        <f t="shared" si="0"/>
        <v>Netz</v>
      </c>
      <c r="D17" s="63" t="s">
        <v>248</v>
      </c>
      <c r="E17" s="166" t="s">
        <v>671</v>
      </c>
      <c r="F17" s="308" t="str">
        <f>VLOOKUP($E17,'BDEW-Standard'!$B$3:$M$94,F$9,0)</f>
        <v>BD4</v>
      </c>
      <c r="H17" s="279">
        <f>ROUND(VLOOKUP($E17,'BDEW-Standard'!$B$3:$M$94,H$9,0),7)</f>
        <v>3.75</v>
      </c>
      <c r="I17" s="279">
        <f>ROUND(VLOOKUP($E17,'BDEW-Standard'!$B$3:$M$94,I$9,0),7)</f>
        <v>-37.5</v>
      </c>
      <c r="J17" s="279">
        <f>ROUND(VLOOKUP($E17,'BDEW-Standard'!$B$3:$M$94,J$9,0),7)</f>
        <v>6.8</v>
      </c>
      <c r="K17" s="279">
        <f>ROUND(VLOOKUP($E17,'BDEW-Standard'!$B$3:$M$94,K$9,0),7)</f>
        <v>6.0911300000000002E-2</v>
      </c>
      <c r="L17" s="280">
        <f>ROUND(VLOOKUP($E17,'BDEW-Standard'!$B$3:$M$94,L$9,0),1)</f>
        <v>40</v>
      </c>
      <c r="M17" s="279">
        <f>ROUND(VLOOKUP($E17,'BDEW-Standard'!$B$3:$M$94,M$9,0),7)</f>
        <v>0</v>
      </c>
      <c r="N17" s="279">
        <f>ROUND(VLOOKUP($E17,'BDEW-Standard'!$B$3:$M$94,N$9,0),7)</f>
        <v>0</v>
      </c>
      <c r="O17" s="279">
        <f>ROUND(VLOOKUP($E17,'BDEW-Standard'!$B$3:$M$94,O$9,0),7)</f>
        <v>0</v>
      </c>
      <c r="P17" s="279">
        <f>ROUND(VLOOKUP($E17,'BDEW-Standard'!$B$3:$M$94,P$9,0),7)</f>
        <v>0</v>
      </c>
      <c r="Q17" s="281">
        <f t="shared" si="1"/>
        <v>1.0126136468627658</v>
      </c>
      <c r="R17" s="282">
        <f>ROUND(VLOOKUP(MID($E17,4,3),'Wochentag F(WT)'!$B$7:$J$22,R$9,0),4)</f>
        <v>1.1052</v>
      </c>
      <c r="S17" s="282">
        <f>ROUND(VLOOKUP(MID($E17,4,3),'Wochentag F(WT)'!$B$7:$J$22,S$9,0),4)</f>
        <v>1.0857000000000001</v>
      </c>
      <c r="T17" s="282">
        <f>ROUND(VLOOKUP(MID($E17,4,3),'Wochentag F(WT)'!$B$7:$J$22,T$9,0),4)</f>
        <v>1.0378000000000001</v>
      </c>
      <c r="U17" s="282">
        <f>ROUND(VLOOKUP(MID($E17,4,3),'Wochentag F(WT)'!$B$7:$J$22,U$9,0),4)</f>
        <v>1.0622</v>
      </c>
      <c r="V17" s="282">
        <f>ROUND(VLOOKUP(MID($E17,4,3),'Wochentag F(WT)'!$B$7:$J$22,V$9,0),4)</f>
        <v>1.0266</v>
      </c>
      <c r="W17" s="282">
        <f>ROUND(VLOOKUP(MID($E17,4,3),'Wochentag F(WT)'!$B$7:$J$22,W$9,0),4)</f>
        <v>0.76290000000000002</v>
      </c>
      <c r="X17" s="283">
        <f t="shared" si="2"/>
        <v>0.91959999999999997</v>
      </c>
      <c r="Y17" s="304">
        <v>334.25033333333334</v>
      </c>
      <c r="Z17" s="213"/>
    </row>
    <row r="18" spans="2:26" s="144" customFormat="1">
      <c r="B18" s="145">
        <v>7</v>
      </c>
      <c r="C18" s="146" t="str">
        <f t="shared" si="0"/>
        <v>Netz</v>
      </c>
      <c r="D18" s="63" t="s">
        <v>248</v>
      </c>
      <c r="E18" s="166" t="s">
        <v>672</v>
      </c>
      <c r="F18" s="308" t="str">
        <f>VLOOKUP($E18,'BDEW-Standard'!$B$3:$M$94,F$9,0)</f>
        <v>GA1</v>
      </c>
      <c r="H18" s="279">
        <f>ROUND(VLOOKUP($E18,'BDEW-Standard'!$B$3:$M$94,H$9,0),7)</f>
        <v>1.1770345</v>
      </c>
      <c r="I18" s="279">
        <f>ROUND(VLOOKUP($E18,'BDEW-Standard'!$B$3:$M$94,I$9,0),7)</f>
        <v>-39.159991400000003</v>
      </c>
      <c r="J18" s="279">
        <f>ROUND(VLOOKUP($E18,'BDEW-Standard'!$B$3:$M$94,J$9,0),7)</f>
        <v>4.207611</v>
      </c>
      <c r="K18" s="279">
        <f>ROUND(VLOOKUP($E18,'BDEW-Standard'!$B$3:$M$94,K$9,0),7)</f>
        <v>0.66047389999999995</v>
      </c>
      <c r="L18" s="280">
        <f>ROUND(VLOOKUP($E18,'BDEW-Standard'!$B$3:$M$94,L$9,0),1)</f>
        <v>40</v>
      </c>
      <c r="M18" s="279">
        <f>ROUND(VLOOKUP($E18,'BDEW-Standard'!$B$3:$M$94,M$9,0),7)</f>
        <v>0</v>
      </c>
      <c r="N18" s="279">
        <f>ROUND(VLOOKUP($E18,'BDEW-Standard'!$B$3:$M$94,N$9,0),7)</f>
        <v>0</v>
      </c>
      <c r="O18" s="279">
        <f>ROUND(VLOOKUP($E18,'BDEW-Standard'!$B$3:$M$94,O$9,0),7)</f>
        <v>0</v>
      </c>
      <c r="P18" s="279">
        <f>ROUND(VLOOKUP($E18,'BDEW-Standard'!$B$3:$M$94,P$9,0),7)</f>
        <v>0</v>
      </c>
      <c r="Q18" s="281">
        <f t="shared" si="1"/>
        <v>1.0130155914591956</v>
      </c>
      <c r="R18" s="282">
        <f>ROUND(VLOOKUP(MID($E18,4,3),'Wochentag F(WT)'!$B$7:$J$22,R$9,0),4)</f>
        <v>0.93220000000000003</v>
      </c>
      <c r="S18" s="282">
        <f>ROUND(VLOOKUP(MID($E18,4,3),'Wochentag F(WT)'!$B$7:$J$22,S$9,0),4)</f>
        <v>0.98939999999999995</v>
      </c>
      <c r="T18" s="282">
        <f>ROUND(VLOOKUP(MID($E18,4,3),'Wochentag F(WT)'!$B$7:$J$22,T$9,0),4)</f>
        <v>1.0033000000000001</v>
      </c>
      <c r="U18" s="282">
        <f>ROUND(VLOOKUP(MID($E18,4,3),'Wochentag F(WT)'!$B$7:$J$22,U$9,0),4)</f>
        <v>1.0108999999999999</v>
      </c>
      <c r="V18" s="282">
        <f>ROUND(VLOOKUP(MID($E18,4,3),'Wochentag F(WT)'!$B$7:$J$22,V$9,0),4)</f>
        <v>1.018</v>
      </c>
      <c r="W18" s="282">
        <f>ROUND(VLOOKUP(MID($E18,4,3),'Wochentag F(WT)'!$B$7:$J$22,W$9,0),4)</f>
        <v>1.0356000000000001</v>
      </c>
      <c r="X18" s="283">
        <f t="shared" si="2"/>
        <v>1.0106000000000002</v>
      </c>
      <c r="Y18" s="304">
        <v>349.91966666666667</v>
      </c>
      <c r="Z18" s="213"/>
    </row>
    <row r="19" spans="2:26" s="144" customFormat="1">
      <c r="B19" s="145">
        <v>8</v>
      </c>
      <c r="C19" s="146" t="str">
        <f t="shared" si="0"/>
        <v>Netz</v>
      </c>
      <c r="D19" s="63" t="s">
        <v>248</v>
      </c>
      <c r="E19" s="166" t="s">
        <v>673</v>
      </c>
      <c r="F19" s="308" t="str">
        <f>VLOOKUP($E19,'BDEW-Standard'!$B$3:$M$94,F$9,0)</f>
        <v>BH3</v>
      </c>
      <c r="H19" s="279">
        <f>ROUND(VLOOKUP($E19,'BDEW-Standard'!$B$3:$M$94,H$9,0),7)</f>
        <v>2.0102471999999998</v>
      </c>
      <c r="I19" s="279">
        <f>ROUND(VLOOKUP($E19,'BDEW-Standard'!$B$3:$M$94,I$9,0),7)</f>
        <v>-35.253212400000002</v>
      </c>
      <c r="J19" s="279">
        <f>ROUND(VLOOKUP($E19,'BDEW-Standard'!$B$3:$M$94,J$9,0),7)</f>
        <v>6.1544406</v>
      </c>
      <c r="K19" s="279">
        <f>ROUND(VLOOKUP($E19,'BDEW-Standard'!$B$3:$M$94,K$9,0),7)</f>
        <v>0.32947409999999999</v>
      </c>
      <c r="L19" s="280">
        <f>ROUND(VLOOKUP($E19,'BDEW-Standard'!$B$3:$M$94,L$9,0),1)</f>
        <v>40</v>
      </c>
      <c r="M19" s="279">
        <f>ROUND(VLOOKUP($E19,'BDEW-Standard'!$B$3:$M$94,M$9,0),7)</f>
        <v>0</v>
      </c>
      <c r="N19" s="279">
        <f>ROUND(VLOOKUP($E19,'BDEW-Standard'!$B$3:$M$94,N$9,0),7)</f>
        <v>0</v>
      </c>
      <c r="O19" s="279">
        <f>ROUND(VLOOKUP($E19,'BDEW-Standard'!$B$3:$M$94,O$9,0),7)</f>
        <v>0</v>
      </c>
      <c r="P19" s="279">
        <f>ROUND(VLOOKUP($E19,'BDEW-Standard'!$B$3:$M$94,P$9,0),7)</f>
        <v>0</v>
      </c>
      <c r="Q19" s="281">
        <f t="shared" si="1"/>
        <v>1.0436896084076008</v>
      </c>
      <c r="R19" s="282">
        <f>ROUND(VLOOKUP(MID($E19,4,3),'Wochentag F(WT)'!$B$7:$J$22,R$9,0),4)</f>
        <v>0.97670000000000001</v>
      </c>
      <c r="S19" s="282">
        <f>ROUND(VLOOKUP(MID($E19,4,3),'Wochentag F(WT)'!$B$7:$J$22,S$9,0),4)</f>
        <v>1.0388999999999999</v>
      </c>
      <c r="T19" s="282">
        <f>ROUND(VLOOKUP(MID($E19,4,3),'Wochentag F(WT)'!$B$7:$J$22,T$9,0),4)</f>
        <v>1.0027999999999999</v>
      </c>
      <c r="U19" s="282">
        <f>ROUND(VLOOKUP(MID($E19,4,3),'Wochentag F(WT)'!$B$7:$J$22,U$9,0),4)</f>
        <v>1.0162</v>
      </c>
      <c r="V19" s="282">
        <f>ROUND(VLOOKUP(MID($E19,4,3),'Wochentag F(WT)'!$B$7:$J$22,V$9,0),4)</f>
        <v>1.0024</v>
      </c>
      <c r="W19" s="282">
        <f>ROUND(VLOOKUP(MID($E19,4,3),'Wochentag F(WT)'!$B$7:$J$22,W$9,0),4)</f>
        <v>1.0043</v>
      </c>
      <c r="X19" s="283">
        <f t="shared" si="2"/>
        <v>0.95870000000000122</v>
      </c>
      <c r="Y19" s="304">
        <v>336.0813333333333</v>
      </c>
      <c r="Z19" s="213"/>
    </row>
    <row r="20" spans="2:26" s="144" customFormat="1">
      <c r="B20" s="145">
        <v>9</v>
      </c>
      <c r="C20" s="146" t="str">
        <f t="shared" si="0"/>
        <v>Netz</v>
      </c>
      <c r="D20" s="63" t="s">
        <v>248</v>
      </c>
      <c r="E20" s="166" t="s">
        <v>674</v>
      </c>
      <c r="F20" s="308" t="str">
        <f>VLOOKUP($E20,'BDEW-Standard'!$B$3:$M$94,F$9,0)</f>
        <v>HA3</v>
      </c>
      <c r="H20" s="279">
        <f>ROUND(VLOOKUP($E20,'BDEW-Standard'!$B$3:$M$94,H$9,0),7)</f>
        <v>3.5811213999999998</v>
      </c>
      <c r="I20" s="279">
        <f>ROUND(VLOOKUP($E20,'BDEW-Standard'!$B$3:$M$94,I$9,0),7)</f>
        <v>-36.965006500000001</v>
      </c>
      <c r="J20" s="279">
        <f>ROUND(VLOOKUP($E20,'BDEW-Standard'!$B$3:$M$94,J$9,0),7)</f>
        <v>7.2256947</v>
      </c>
      <c r="K20" s="279">
        <f>ROUND(VLOOKUP($E20,'BDEW-Standard'!$B$3:$M$94,K$9,0),7)</f>
        <v>4.4841600000000002E-2</v>
      </c>
      <c r="L20" s="280">
        <f>ROUND(VLOOKUP($E20,'BDEW-Standard'!$B$3:$M$94,L$9,0),1)</f>
        <v>40</v>
      </c>
      <c r="M20" s="279">
        <f>ROUND(VLOOKUP($E20,'BDEW-Standard'!$B$3:$M$94,M$9,0),7)</f>
        <v>0</v>
      </c>
      <c r="N20" s="279">
        <f>ROUND(VLOOKUP($E20,'BDEW-Standard'!$B$3:$M$94,N$9,0),7)</f>
        <v>0</v>
      </c>
      <c r="O20" s="279">
        <f>ROUND(VLOOKUP($E20,'BDEW-Standard'!$B$3:$M$94,O$9,0),7)</f>
        <v>0</v>
      </c>
      <c r="P20" s="279">
        <f>ROUND(VLOOKUP($E20,'BDEW-Standard'!$B$3:$M$94,P$9,0),7)</f>
        <v>0</v>
      </c>
      <c r="Q20" s="281">
        <f t="shared" si="1"/>
        <v>0.97852945357176691</v>
      </c>
      <c r="R20" s="282">
        <f>ROUND(VLOOKUP(MID($E20,4,3),'Wochentag F(WT)'!$B$7:$J$22,R$9,0),4)</f>
        <v>1.0358000000000001</v>
      </c>
      <c r="S20" s="282">
        <f>ROUND(VLOOKUP(MID($E20,4,3),'Wochentag F(WT)'!$B$7:$J$22,S$9,0),4)</f>
        <v>1.0232000000000001</v>
      </c>
      <c r="T20" s="282">
        <f>ROUND(VLOOKUP(MID($E20,4,3),'Wochentag F(WT)'!$B$7:$J$22,T$9,0),4)</f>
        <v>1.0251999999999999</v>
      </c>
      <c r="U20" s="282">
        <f>ROUND(VLOOKUP(MID($E20,4,3),'Wochentag F(WT)'!$B$7:$J$22,U$9,0),4)</f>
        <v>1.0295000000000001</v>
      </c>
      <c r="V20" s="282">
        <f>ROUND(VLOOKUP(MID($E20,4,3),'Wochentag F(WT)'!$B$7:$J$22,V$9,0),4)</f>
        <v>1.0253000000000001</v>
      </c>
      <c r="W20" s="282">
        <f>ROUND(VLOOKUP(MID($E20,4,3),'Wochentag F(WT)'!$B$7:$J$22,W$9,0),4)</f>
        <v>0.96750000000000003</v>
      </c>
      <c r="X20" s="283">
        <f t="shared" si="2"/>
        <v>0.89350000000000041</v>
      </c>
      <c r="Y20" s="304">
        <v>324.05</v>
      </c>
      <c r="Z20" s="213"/>
    </row>
    <row r="21" spans="2:26" s="144" customFormat="1">
      <c r="B21" s="145">
        <v>10</v>
      </c>
      <c r="C21" s="146" t="str">
        <f t="shared" si="0"/>
        <v>Netz</v>
      </c>
      <c r="D21" s="63"/>
      <c r="E21" s="166"/>
      <c r="F21" s="308"/>
      <c r="H21" s="279"/>
      <c r="I21" s="279"/>
      <c r="J21" s="279"/>
      <c r="K21" s="279"/>
      <c r="L21" s="280"/>
      <c r="M21" s="279"/>
      <c r="N21" s="279"/>
      <c r="O21" s="279"/>
      <c r="P21" s="279"/>
      <c r="Q21" s="281"/>
      <c r="R21" s="282"/>
      <c r="S21" s="282"/>
      <c r="T21" s="282"/>
      <c r="U21" s="282"/>
      <c r="V21" s="282"/>
      <c r="W21" s="282"/>
      <c r="X21" s="283"/>
      <c r="Y21" s="304"/>
      <c r="Z21" s="213"/>
    </row>
    <row r="22" spans="2:26" s="144" customFormat="1">
      <c r="B22" s="145">
        <v>11</v>
      </c>
      <c r="C22" s="146" t="str">
        <f t="shared" si="0"/>
        <v>Netz</v>
      </c>
      <c r="D22" s="63"/>
      <c r="E22" s="166"/>
      <c r="F22" s="308"/>
      <c r="H22" s="279"/>
      <c r="I22" s="279"/>
      <c r="J22" s="279"/>
      <c r="K22" s="279"/>
      <c r="L22" s="280"/>
      <c r="M22" s="279"/>
      <c r="N22" s="279"/>
      <c r="O22" s="279"/>
      <c r="P22" s="279"/>
      <c r="Q22" s="281"/>
      <c r="R22" s="282"/>
      <c r="S22" s="282"/>
      <c r="T22" s="282"/>
      <c r="U22" s="282"/>
      <c r="V22" s="282"/>
      <c r="W22" s="282"/>
      <c r="X22" s="283"/>
      <c r="Y22" s="304"/>
      <c r="Z22" s="213"/>
    </row>
    <row r="23" spans="2:26" s="144" customFormat="1">
      <c r="B23" s="145">
        <v>12</v>
      </c>
      <c r="C23" s="146" t="str">
        <f t="shared" si="0"/>
        <v>Netz</v>
      </c>
      <c r="D23" s="63"/>
      <c r="E23" s="166"/>
      <c r="F23" s="308"/>
      <c r="H23" s="279"/>
      <c r="I23" s="279"/>
      <c r="J23" s="279"/>
      <c r="K23" s="279"/>
      <c r="L23" s="280"/>
      <c r="M23" s="279"/>
      <c r="N23" s="279"/>
      <c r="O23" s="279"/>
      <c r="P23" s="279"/>
      <c r="Q23" s="281"/>
      <c r="R23" s="282"/>
      <c r="S23" s="282"/>
      <c r="T23" s="282"/>
      <c r="U23" s="282"/>
      <c r="V23" s="282"/>
      <c r="W23" s="282"/>
      <c r="X23" s="283"/>
      <c r="Y23" s="304"/>
      <c r="Z23" s="213"/>
    </row>
    <row r="24" spans="2:26" s="144" customFormat="1">
      <c r="B24" s="145">
        <v>13</v>
      </c>
      <c r="C24" s="146" t="str">
        <f t="shared" si="0"/>
        <v>Netz</v>
      </c>
      <c r="D24" s="63"/>
      <c r="E24" s="166"/>
      <c r="F24" s="308"/>
      <c r="H24" s="279"/>
      <c r="I24" s="279"/>
      <c r="J24" s="279"/>
      <c r="K24" s="279"/>
      <c r="L24" s="280"/>
      <c r="M24" s="279"/>
      <c r="N24" s="279"/>
      <c r="O24" s="279"/>
      <c r="P24" s="279"/>
      <c r="Q24" s="281"/>
      <c r="R24" s="282"/>
      <c r="S24" s="282"/>
      <c r="T24" s="282"/>
      <c r="U24" s="282"/>
      <c r="V24" s="282"/>
      <c r="W24" s="282"/>
      <c r="X24" s="283"/>
      <c r="Y24" s="304"/>
      <c r="Z24" s="213"/>
    </row>
    <row r="25" spans="2:26" s="144" customFormat="1">
      <c r="B25" s="145">
        <v>14</v>
      </c>
      <c r="C25" s="146" t="str">
        <f t="shared" si="0"/>
        <v>Netz</v>
      </c>
      <c r="D25" s="63"/>
      <c r="E25" s="166"/>
      <c r="F25" s="308"/>
      <c r="H25" s="279"/>
      <c r="I25" s="279"/>
      <c r="J25" s="279"/>
      <c r="K25" s="279"/>
      <c r="L25" s="280"/>
      <c r="M25" s="279"/>
      <c r="N25" s="279"/>
      <c r="O25" s="279"/>
      <c r="P25" s="279"/>
      <c r="Q25" s="281"/>
      <c r="R25" s="282"/>
      <c r="S25" s="282"/>
      <c r="T25" s="282"/>
      <c r="U25" s="282"/>
      <c r="V25" s="282"/>
      <c r="W25" s="282"/>
      <c r="X25" s="283"/>
      <c r="Y25" s="304"/>
      <c r="Z25" s="213"/>
    </row>
    <row r="26" spans="2:26" s="144" customFormat="1">
      <c r="B26" s="145">
        <v>15</v>
      </c>
      <c r="C26" s="146" t="str">
        <f t="shared" si="0"/>
        <v>Netz</v>
      </c>
      <c r="D26" s="63"/>
      <c r="E26" s="166"/>
      <c r="F26" s="308"/>
      <c r="H26" s="279"/>
      <c r="I26" s="279"/>
      <c r="J26" s="279"/>
      <c r="K26" s="279"/>
      <c r="L26" s="280"/>
      <c r="M26" s="279"/>
      <c r="N26" s="279"/>
      <c r="O26" s="279"/>
      <c r="P26" s="279"/>
      <c r="Q26" s="281"/>
      <c r="R26" s="282"/>
      <c r="S26" s="282"/>
      <c r="T26" s="282"/>
      <c r="U26" s="282"/>
      <c r="V26" s="282"/>
      <c r="W26" s="282"/>
      <c r="X26" s="283"/>
      <c r="Y26" s="304"/>
      <c r="Z26" s="213"/>
    </row>
    <row r="27" spans="2:26" s="144" customFormat="1">
      <c r="B27" s="145">
        <v>16</v>
      </c>
      <c r="C27" s="146" t="str">
        <f t="shared" si="0"/>
        <v>Netz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Netz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Netz</v>
      </c>
      <c r="D29" s="63"/>
      <c r="E29" s="167"/>
      <c r="F29" s="308"/>
      <c r="H29" s="284"/>
      <c r="I29" s="284"/>
      <c r="J29" s="284"/>
      <c r="K29" s="284"/>
      <c r="L29" s="286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Netz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Netz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Netz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Netz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Netz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Netz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Netz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Netz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Netz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Netz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Netz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Netz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344</v>
      </c>
      <c r="B1" s="217">
        <v>42173</v>
      </c>
      <c r="D1" s="132" t="s">
        <v>451</v>
      </c>
      <c r="F1" s="218" t="s">
        <v>545</v>
      </c>
      <c r="N1" s="219"/>
    </row>
    <row r="2" spans="1:14" ht="25.5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O5" sqref="O5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Energieversorgung Filstal GmbH &amp; Co. KG</v>
      </c>
      <c r="D4" s="77"/>
      <c r="G4" s="77"/>
      <c r="I4" s="77"/>
      <c r="J4" s="78"/>
      <c r="M4" s="87" t="s">
        <v>539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441</v>
      </c>
      <c r="C5" s="65" t="str">
        <f>Netzbetreiber!D28</f>
        <v>Netz</v>
      </c>
      <c r="D5" s="37"/>
      <c r="E5" s="77"/>
      <c r="F5" s="77"/>
      <c r="G5" s="77"/>
      <c r="I5" s="77"/>
      <c r="J5" s="77"/>
      <c r="K5" s="77"/>
      <c r="L5" s="77"/>
      <c r="M5" s="89" t="s">
        <v>507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439</v>
      </c>
      <c r="C6" s="64" t="str">
        <f>Netzbetreiber!$D$11</f>
        <v>9870078000006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45292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7" t="s">
        <v>455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9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62" t="s">
        <v>583</v>
      </c>
      <c r="C10" s="363"/>
      <c r="D10" s="95">
        <v>2</v>
      </c>
      <c r="E10" s="96" t="str">
        <f>IF(ISERROR(HLOOKUP(E$11,$M$9:$AD$35,$D10,0)),"",HLOOKUP(E$11,$M$9:$AD$35,$D10,0))</f>
        <v/>
      </c>
      <c r="F10" s="360" t="s">
        <v>395</v>
      </c>
      <c r="G10" s="360"/>
      <c r="H10" s="360"/>
      <c r="I10" s="360"/>
      <c r="J10" s="360"/>
      <c r="K10" s="360"/>
      <c r="L10" s="361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.7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0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1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396</v>
      </c>
      <c r="C12" s="111"/>
      <c r="D12" s="112">
        <v>4</v>
      </c>
      <c r="E12" s="315">
        <f>MIN(SUMPRODUCT($M$11:$AD$11,M12:AD12),1)</f>
        <v>1</v>
      </c>
      <c r="F12" s="312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397</v>
      </c>
      <c r="C13" s="118"/>
      <c r="D13" s="112">
        <v>5</v>
      </c>
      <c r="E13" s="316">
        <f t="shared" ref="E13:E35" si="0">MIN(SUMPRODUCT($M$11:$AD$11,M13:AD13),1)</f>
        <v>1</v>
      </c>
      <c r="F13" s="313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398</v>
      </c>
      <c r="C14" s="118"/>
      <c r="D14" s="112">
        <v>6</v>
      </c>
      <c r="E14" s="316">
        <f t="shared" si="0"/>
        <v>0</v>
      </c>
      <c r="F14" s="313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400</v>
      </c>
      <c r="C15" s="118"/>
      <c r="D15" s="112">
        <v>7</v>
      </c>
      <c r="E15" s="316">
        <f t="shared" si="0"/>
        <v>0</v>
      </c>
      <c r="F15" s="313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412</v>
      </c>
      <c r="C16" s="118"/>
      <c r="D16" s="112">
        <v>8</v>
      </c>
      <c r="E16" s="316">
        <f t="shared" si="0"/>
        <v>1</v>
      </c>
      <c r="F16" s="313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413</v>
      </c>
      <c r="C17" s="118"/>
      <c r="D17" s="112">
        <v>9</v>
      </c>
      <c r="E17" s="316">
        <f t="shared" si="0"/>
        <v>1</v>
      </c>
      <c r="F17" s="313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414</v>
      </c>
      <c r="C18" s="118"/>
      <c r="D18" s="112">
        <v>10</v>
      </c>
      <c r="E18" s="316">
        <f t="shared" si="0"/>
        <v>1</v>
      </c>
      <c r="F18" s="313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651</v>
      </c>
      <c r="C19" s="341"/>
      <c r="D19" s="112"/>
      <c r="E19" s="316">
        <v>1</v>
      </c>
      <c r="F19" s="313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401</v>
      </c>
      <c r="C20" s="118"/>
      <c r="D20" s="112">
        <v>11</v>
      </c>
      <c r="E20" s="316">
        <f t="shared" si="0"/>
        <v>1</v>
      </c>
      <c r="F20" s="313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649</v>
      </c>
      <c r="C21" s="118"/>
      <c r="D21" s="112">
        <v>12</v>
      </c>
      <c r="E21" s="316">
        <f t="shared" si="0"/>
        <v>1</v>
      </c>
      <c r="F21" s="313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415</v>
      </c>
      <c r="C22" s="118"/>
      <c r="D22" s="112">
        <v>13</v>
      </c>
      <c r="E22" s="316">
        <f t="shared" si="0"/>
        <v>1</v>
      </c>
      <c r="F22" s="313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416</v>
      </c>
      <c r="C23" s="118"/>
      <c r="D23" s="112">
        <v>14</v>
      </c>
      <c r="E23" s="316">
        <f t="shared" si="0"/>
        <v>1</v>
      </c>
      <c r="F23" s="313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417</v>
      </c>
      <c r="C24" s="118"/>
      <c r="D24" s="112">
        <v>15</v>
      </c>
      <c r="E24" s="316">
        <f t="shared" si="0"/>
        <v>1</v>
      </c>
      <c r="F24" s="313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402</v>
      </c>
      <c r="C25" s="118"/>
      <c r="D25" s="112">
        <v>16</v>
      </c>
      <c r="E25" s="316">
        <f t="shared" si="0"/>
        <v>0</v>
      </c>
      <c r="F25" s="313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403</v>
      </c>
      <c r="C26" s="118"/>
      <c r="D26" s="112">
        <v>17</v>
      </c>
      <c r="E26" s="316">
        <f t="shared" si="0"/>
        <v>0</v>
      </c>
      <c r="F26" s="313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650</v>
      </c>
      <c r="C27" s="341"/>
      <c r="D27" s="112"/>
      <c r="E27" s="316">
        <v>1</v>
      </c>
      <c r="F27" s="313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404</v>
      </c>
      <c r="C28" s="118"/>
      <c r="D28" s="112">
        <v>18</v>
      </c>
      <c r="E28" s="316">
        <f t="shared" si="0"/>
        <v>1</v>
      </c>
      <c r="F28" s="313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405</v>
      </c>
      <c r="C29" s="341"/>
      <c r="D29" s="342">
        <v>19</v>
      </c>
      <c r="E29" s="343">
        <v>1</v>
      </c>
      <c r="F29" s="313" t="s">
        <v>392</v>
      </c>
      <c r="G29" s="313" t="s">
        <v>392</v>
      </c>
      <c r="H29" s="313" t="s">
        <v>392</v>
      </c>
      <c r="I29" s="313" t="s">
        <v>392</v>
      </c>
      <c r="J29" s="313" t="s">
        <v>392</v>
      </c>
      <c r="K29" s="313" t="s">
        <v>392</v>
      </c>
      <c r="L29" s="313" t="s">
        <v>392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406</v>
      </c>
      <c r="C30" s="118"/>
      <c r="D30" s="112">
        <v>20</v>
      </c>
      <c r="E30" s="316">
        <f t="shared" si="0"/>
        <v>1</v>
      </c>
      <c r="F30" s="313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407</v>
      </c>
      <c r="C31" s="118"/>
      <c r="D31" s="112">
        <v>21</v>
      </c>
      <c r="E31" s="316">
        <f t="shared" si="0"/>
        <v>0</v>
      </c>
      <c r="F31" s="313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408</v>
      </c>
      <c r="C32" s="118"/>
      <c r="D32" s="112">
        <v>22</v>
      </c>
      <c r="E32" s="316">
        <f t="shared" si="0"/>
        <v>0</v>
      </c>
      <c r="F32" s="313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409</v>
      </c>
      <c r="C33" s="118"/>
      <c r="D33" s="112">
        <v>23</v>
      </c>
      <c r="E33" s="316">
        <f t="shared" si="0"/>
        <v>1</v>
      </c>
      <c r="F33" s="313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410</v>
      </c>
      <c r="C34" s="118"/>
      <c r="D34" s="112">
        <v>24</v>
      </c>
      <c r="E34" s="316">
        <f t="shared" si="0"/>
        <v>1</v>
      </c>
      <c r="F34" s="313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411</v>
      </c>
      <c r="C35" s="124"/>
      <c r="D35" s="125">
        <v>25</v>
      </c>
      <c r="E35" s="317">
        <f t="shared" si="0"/>
        <v>0</v>
      </c>
      <c r="F35" s="314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452</v>
      </c>
      <c r="B1" s="129"/>
      <c r="D1" s="218" t="s">
        <v>545</v>
      </c>
    </row>
    <row r="2" spans="1:16">
      <c r="A2" s="238"/>
      <c r="B2" s="237" t="s">
        <v>453</v>
      </c>
    </row>
    <row r="3" spans="1:16" ht="20.100000000000001" customHeight="1">
      <c r="A3" s="364" t="s">
        <v>249</v>
      </c>
      <c r="B3" s="239" t="s">
        <v>86</v>
      </c>
      <c r="C3" s="240"/>
      <c r="D3" s="366" t="s">
        <v>454</v>
      </c>
      <c r="E3" s="367"/>
      <c r="F3" s="367"/>
      <c r="G3" s="367"/>
      <c r="H3" s="367"/>
      <c r="I3" s="367"/>
      <c r="J3" s="368"/>
      <c r="K3" s="241"/>
      <c r="L3" s="241"/>
      <c r="M3" s="241"/>
      <c r="N3" s="241"/>
      <c r="O3" s="242"/>
      <c r="P3" s="241"/>
    </row>
    <row r="4" spans="1:16" ht="20.100000000000001" customHeight="1">
      <c r="A4" s="365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5.5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8b9f00-f4e5-4488-840e-6084e0f1107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Rau, Daniela</cp:lastModifiedBy>
  <cp:lastPrinted>2015-03-20T22:59:10Z</cp:lastPrinted>
  <dcterms:created xsi:type="dcterms:W3CDTF">2015-01-15T05:25:41Z</dcterms:created>
  <dcterms:modified xsi:type="dcterms:W3CDTF">2024-02-29T12:56:18Z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