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Gasnetz\Kooperationsvereinbarung inkl. Verträge\KoV XIII\LRV\Versandversion\Homepage\"/>
    </mc:Choice>
  </mc:AlternateContent>
  <xr:revisionPtr revIDLastSave="0" documentId="13_ncr:1_{E8FACDA1-3191-4F93-BA9A-443DF64EC9AE}" xr6:coauthVersionLast="47" xr6:coauthVersionMax="47" xr10:uidLastSave="{00000000-0000-0000-0000-000000000000}"/>
  <bookViews>
    <workbookView xWindow="-120" yWindow="-120" windowWidth="25830" windowHeight="15630" tabRatio="789" activeTab="5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L31" i="18" s="1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J21" i="18"/>
  <c r="I21" i="18"/>
  <c r="H21" i="18"/>
  <c r="K21" i="18"/>
  <c r="G21" i="18"/>
  <c r="K31" i="18"/>
  <c r="G31" i="18"/>
  <c r="N31" i="18"/>
  <c r="J31" i="18"/>
  <c r="F31" i="18"/>
  <c r="M31" i="18"/>
  <c r="H53" i="18"/>
  <c r="H63" i="18"/>
  <c r="D21" i="15"/>
  <c r="C20" i="15"/>
  <c r="D66" i="18" l="1"/>
  <c r="N65" i="18" s="1"/>
  <c r="H31" i="18"/>
  <c r="E31" i="18" s="1"/>
  <c r="N21" i="18"/>
  <c r="I31" i="18"/>
  <c r="L21" i="18"/>
  <c r="M21" i="18"/>
  <c r="D56" i="18"/>
  <c r="J55" i="18" s="1"/>
  <c r="K65" i="18"/>
  <c r="G65" i="18"/>
  <c r="H65" i="18"/>
  <c r="I65" i="18"/>
  <c r="M65" i="18"/>
  <c r="F65" i="18"/>
  <c r="L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M55" i="18" l="1"/>
  <c r="J65" i="18"/>
  <c r="H55" i="18"/>
  <c r="L65" i="18"/>
  <c r="F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S12" i="7"/>
  <c r="T12" i="7"/>
  <c r="U12" i="7"/>
  <c r="V12" i="7"/>
  <c r="W12" i="7"/>
  <c r="R12" i="7"/>
  <c r="X12" i="7" l="1"/>
  <c r="X13" i="7"/>
  <c r="X11" i="7"/>
  <c r="X20" i="7"/>
  <c r="X19" i="7"/>
  <c r="X16" i="7"/>
  <c r="X15" i="7"/>
  <c r="X17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O12" i="7"/>
  <c r="P11" i="7"/>
  <c r="N13" i="7"/>
  <c r="I14" i="7"/>
  <c r="H15" i="7"/>
  <c r="P15" i="7"/>
  <c r="O16" i="7"/>
  <c r="N17" i="7"/>
  <c r="M18" i="7"/>
  <c r="L19" i="7"/>
  <c r="K20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K12" i="7"/>
  <c r="K11" i="7"/>
  <c r="J13" i="7"/>
  <c r="M14" i="7"/>
  <c r="L15" i="7"/>
  <c r="K16" i="7"/>
  <c r="J17" i="7"/>
  <c r="I18" i="7"/>
  <c r="H19" i="7"/>
  <c r="P19" i="7"/>
  <c r="O20" i="7"/>
  <c r="L12" i="7"/>
  <c r="H12" i="7"/>
  <c r="I11" i="7"/>
  <c r="F19" i="7"/>
  <c r="F17" i="7"/>
  <c r="F15" i="7"/>
  <c r="F12" i="7"/>
  <c r="F20" i="7"/>
  <c r="F18" i="7"/>
  <c r="F16" i="7"/>
  <c r="F14" i="7"/>
  <c r="F13" i="7"/>
  <c r="F11" i="7"/>
  <c r="M8" i="4"/>
  <c r="M7" i="4"/>
  <c r="C5" i="1"/>
  <c r="D6" i="15"/>
  <c r="D6" i="7"/>
  <c r="C24" i="7" l="1"/>
  <c r="C26" i="7"/>
  <c r="C22" i="7"/>
  <c r="C23" i="7"/>
  <c r="C25" i="7"/>
  <c r="C21" i="7"/>
  <c r="Q18" i="7"/>
  <c r="Q13" i="7"/>
  <c r="Q15" i="7"/>
  <c r="Q11" i="7"/>
  <c r="Q20" i="7"/>
  <c r="Q12" i="7"/>
  <c r="Q16" i="7"/>
  <c r="Q19" i="7"/>
  <c r="Q14" i="7"/>
  <c r="Q17" i="7"/>
  <c r="C41" i="7"/>
  <c r="C29" i="7"/>
  <c r="C20" i="7"/>
  <c r="C14" i="7"/>
  <c r="C12" i="7"/>
  <c r="C19" i="7"/>
  <c r="C31" i="7"/>
  <c r="C32" i="7"/>
  <c r="C16" i="7"/>
  <c r="C28" i="7"/>
  <c r="C34" i="7"/>
  <c r="C15" i="7"/>
  <c r="C39" i="7"/>
  <c r="C36" i="7"/>
  <c r="C17" i="7"/>
  <c r="C33" i="7"/>
  <c r="C38" i="7"/>
  <c r="C27" i="7"/>
  <c r="C30" i="7"/>
  <c r="C13" i="7"/>
  <c r="C18" i="7"/>
  <c r="C35" i="7"/>
  <c r="C40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<sst xmlns="http://schemas.openxmlformats.org/spreadsheetml/2006/main" count="1388" uniqueCount="676">
  <si>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</si>
  <si>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</si>
  <si>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</si>
  <si>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</si>
  <si>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</si>
  <si>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</si>
  <si>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</si>
  <si>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</si>
  <si>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</si>
  <si>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</si>
  <si>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</si>
  <si>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</si>
  <si>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</si>
  <si>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</si>
  <si>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</si>
  <si>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</si>
  <si>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</si>
  <si>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</si>
  <si>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</si>
  <si>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</si>
  <si>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</si>
  <si>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</si>
  <si>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</si>
  <si>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</si>
  <si>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</si>
  <si>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</si>
  <si>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</si>
  <si>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</si>
  <si>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</si>
  <si>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</si>
  <si>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</si>
  <si>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</si>
  <si>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</si>
  <si>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</si>
  <si>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</si>
  <si>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</si>
  <si>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</si>
  <si>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</si>
  <si>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</si>
  <si>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</si>
  <si>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</si>
  <si>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</si>
  <si>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</si>
  <si>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</si>
  <si>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</si>
  <si>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</si>
  <si>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</si>
  <si>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</si>
  <si>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</si>
  <si>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</si>
  <si>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</si>
  <si>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</si>
  <si>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</si>
  <si>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</si>
  <si>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</si>
  <si>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</si>
  <si>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</si>
  <si>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</si>
  <si>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</si>
  <si>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</si>
  <si>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</si>
  <si>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</si>
  <si>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</si>
  <si>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</si>
  <si>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</si>
  <si>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</si>
  <si>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</si>
  <si>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</si>
  <si>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</si>
  <si>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</si>
  <si>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</si>
  <si>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</si>
  <si>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</si>
  <si>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</si>
  <si>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</si>
  <si>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</si>
  <si>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</si>
  <si>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</si>
  <si>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</si>
  <si>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</si>
  <si>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</si>
  <si>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</si>
  <si>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</si>
  <si>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</si>
  <si>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</si>
  <si>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</si>
  <si>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</si>
  <si>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</si>
  <si>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</si>
  <si>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</si>
  <si>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</si>
  <si>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</si>
  <si>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</si>
  <si>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</si>
  <si>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</si>
  <si>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</si>
  <si>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</si>
  <si>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</si>
  <si>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</si>
  <si>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</si>
  <si>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</si>
  <si>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</si>
  <si>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</si>
  <si>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</si>
  <si>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</si>
  <si>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</si>
  <si>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</si>
  <si>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</si>
  <si>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</si>
  <si>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</si>
  <si>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</si>
  <si>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</si>
  <si>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</si>
  <si>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</si>
  <si>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</si>
  <si>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</si>
  <si>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</si>
  <si>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</si>
  <si>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</si>
  <si>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</si>
  <si>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</si>
  <si>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</si>
  <si>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</si>
  <si>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</si>
  <si>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</si>
  <si>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</si>
  <si>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</si>
  <si>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</si>
  <si>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</si>
  <si>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</si>
  <si>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</si>
  <si>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</si>
  <si>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</si>
  <si>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</si>
  <si>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</si>
  <si>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</si>
  <si>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</si>
  <si>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</si>
  <si>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</si>
  <si>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</si>
  <si>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</si>
  <si>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</si>
  <si>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</si>
  <si>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</si>
  <si>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</si>
  <si>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</si>
  <si>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</si>
  <si>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</si>
  <si>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</si>
  <si>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</si>
  <si>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</si>
  <si>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</si>
  <si>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</si>
  <si>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</si>
  <si>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</si>
  <si>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</si>
  <si>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</si>
  <si>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</si>
  <si>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</si>
  <si>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</si>
  <si>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</si>
  <si>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</si>
  <si>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</si>
  <si>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</si>
  <si>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</si>
  <si>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</si>
  <si>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</si>
  <si>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</si>
  <si>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</si>
  <si>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</si>
  <si>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</si>
  <si>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</si>
  <si>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</si>
  <si>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</si>
  <si>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</si>
  <si>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</si>
  <si>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</si>
  <si>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</si>
  <si>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</si>
  <si>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</si>
  <si>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</si>
  <si>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</si>
  <si>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</si>
  <si>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</si>
  <si>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</si>
  <si>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</si>
  <si>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</si>
  <si>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</si>
  <si>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</si>
  <si>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</si>
  <si>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</si>
  <si>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</si>
  <si>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</si>
  <si>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</si>
  <si>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</si>
  <si>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</si>
  <si>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</si>
  <si>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</si>
  <si>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</si>
  <si>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</si>
  <si>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</si>
  <si>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</si>
  <si>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</si>
  <si>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</si>
  <si>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</si>
  <si>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</si>
  <si>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</si>
  <si>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</si>
  <si>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</si>
  <si>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</si>
  <si>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</si>
  <si>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</si>
  <si>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</si>
  <si>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</si>
  <si>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</si>
  <si>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</si>
  <si>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</si>
  <si>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</si>
  <si>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</si>
  <si>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</si>
  <si>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</si>
  <si>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</si>
  <si>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</si>
  <si>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</si>
  <si>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</si>
  <si>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</si>
  <si>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</si>
  <si>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</si>
  <si>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</si>
  <si>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</si>
  <si>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</si>
  <si>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</si>
  <si>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</si>
  <si>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</si>
  <si>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</si>
  <si>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</si>
  <si>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</si>
  <si>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</si>
  <si>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</si>
  <si>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</si>
  <si>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</si>
  <si>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</si>
  <si>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</si>
  <si>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</si>
  <si>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</si>
  <si>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</si>
  <si>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</si>
  <si>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</si>
  <si>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</si>
  <si>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</si>
  <si>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</si>
  <si>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</si>
  <si>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</si>
  <si>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</si>
  <si>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</si>
  <si>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</si>
  <si>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</si>
  <si>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</si>
  <si>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</si>
  <si>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</si>
  <si>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</si>
  <si>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</si>
  <si>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</si>
  <si>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</si>
  <si>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</si>
  <si>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</si>
  <si>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</si>
  <si>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</si>
  <si>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</si>
  <si>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</si>
  <si>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</si>
  <si>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</si>
  <si>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</si>
  <si>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</si>
  <si>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</si>
  <si>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</si>
  <si>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</si>
  <si>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</si>
  <si>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</si>
  <si>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</si>
  <si>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</si>
  <si>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</si>
  <si>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</si>
  <si>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</si>
  <si>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</si>
  <si>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</si>
  <si>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</si>
  <si>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</si>
  <si>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</si>
  <si>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</si>
  <si>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</si>
  <si>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</si>
  <si>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</si>
  <si>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</si>
  <si>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</si>
  <si>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</si>
  <si>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</si>
  <si>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</si>
  <si>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</si>
  <si>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</si>
  <si>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</si>
  <si>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</si>
  <si>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</si>
  <si>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</si>
  <si>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</si>
  <si>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</si>
  <si>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</si>
  <si>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</si>
  <si>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</si>
  <si>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</si>
  <si>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</si>
  <si>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</si>
  <si>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</si>
  <si>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</si>
  <si>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</si>
  <si>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</si>
  <si>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</si>
  <si>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</si>
  <si>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</si>
  <si>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</si>
  <si>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</si>
  <si>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</si>
  <si>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</si>
  <si>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</si>
  <si>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</si>
  <si>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</si>
  <si>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</si>
  <si>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</si>
  <si>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</si>
  <si>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</si>
  <si>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</si>
  <si>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</si>
  <si>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</si>
  <si>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</si>
  <si>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</si>
  <si>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</si>
  <si>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</si>
  <si>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</si>
  <si>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</si>
  <si>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</si>
  <si>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</si>
  <si>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</si>
  <si>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</si>
  <si>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</si>
  <si>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</si>
  <si>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</si>
  <si>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</si>
  <si>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</si>
  <si>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</si>
  <si>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</si>
  <si>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</si>
  <si>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</si>
  <si>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</si>
  <si>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</si>
  <si>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</si>
  <si>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</si>
  <si>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</si>
  <si>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</si>
  <si>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</si>
  <si>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</si>
  <si>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</si>
  <si>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</si>
  <si>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</si>
  <si>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</si>
  <si>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</si>
  <si>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</si>
  <si>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</si>
  <si>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</si>
  <si>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</si>
  <si>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</si>
  <si>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</si>
  <si>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</si>
  <si>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</si>
  <si>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</si>
  <si>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</si>
  <si>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</si>
  <si>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</si>
  <si>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</si>
  <si>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</si>
  <si>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</si>
  <si>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</si>
  <si>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</si>
  <si>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</si>
  <si>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</si>
  <si>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</si>
  <si>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</si>
  <si>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</si>
  <si>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</si>
  <si>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</si>
  <si>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</si>
  <si>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</si>
  <si>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</si>
  <si>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</si>
  <si>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</si>
  <si>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</si>
  <si>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</si>
  <si>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</si>
  <si>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</si>
  <si>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</si>
  <si>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</si>
  <si>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</si>
  <si>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</si>
  <si>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</si>
  <si>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</si>
  <si>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</si>
  <si>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</si>
  <si>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</si>
  <si>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</si>
  <si>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</si>
  <si>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</si>
  <si>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</si>
  <si>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</si>
  <si>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</si>
  <si>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</si>
  <si>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</si>
  <si>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</si>
  <si>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</si>
  <si>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</si>
  <si>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</si>
  <si>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</si>
  <si>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</si>
  <si>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</si>
  <si>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</si>
  <si>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</si>
  <si>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</si>
  <si>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</si>
  <si>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</si>
  <si>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</si>
  <si>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</si>
  <si>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</si>
  <si>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</si>
  <si>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</si>
  <si>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</si>
  <si>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</si>
  <si>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</si>
  <si>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</si>
  <si>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</si>
  <si>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</si>
  <si>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</si>
  <si>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</si>
  <si>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</si>
  <si>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</si>
  <si>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</si>
  <si>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</si>
  <si>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</si>
  <si>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</si>
  <si>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</si>
  <si>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</si>
  <si>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</si>
  <si>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</si>
  <si>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</si>
  <si>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</si>
  <si>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</si>
  <si>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</si>
  <si>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</si>
  <si>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</si>
  <si>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</si>
  <si>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</si>
  <si>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</si>
  <si>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</si>
  <si>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</si>
  <si>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</si>
  <si>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</si>
  <si>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</si>
  <si>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</si>
  <si>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</si>
  <si>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</si>
  <si>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</si>
  <si>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</si>
  <si>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</si>
  <si>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</si>
  <si>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</si>
  <si>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</si>
  <si>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</si>
  <si>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</si>
  <si>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</si>
  <si>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</si>
  <si>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</si>
  <si>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</si>
  <si>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</si>
  <si>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</si>
  <si>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</si>
  <si>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</si>
  <si>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</si>
  <si>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</si>
  <si>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</si>
  <si>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</si>
  <si>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</si>
  <si>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</si>
  <si>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</si>
  <si>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</si>
  <si>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</si>
  <si>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</si>
  <si>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</si>
  <si>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</si>
  <si>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</si>
  <si>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</si>
  <si>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</si>
  <si>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</si>
  <si>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</si>
  <si>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</si>
  <si>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</si>
  <si>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</si>
  <si>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</si>
  <si>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</si>
  <si>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</si>
  <si>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</si>
  <si>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</si>
  <si>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</si>
  <si>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</si>
  <si>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</si>
  <si>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</si>
  <si>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</si>
  <si>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</si>
  <si>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</si>
  <si>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</si>
  <si>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</si>
  <si>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</si>
  <si>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</si>
  <si>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</si>
  <si>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</si>
  <si>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</si>
  <si>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</si>
  <si>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</si>
  <si>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</si>
  <si>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</si>
  <si>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</si>
  <si>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</si>
  <si>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</si>
  <si>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</si>
  <si>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</si>
  <si>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</si>
  <si>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</si>
  <si>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</si>
  <si>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</si>
  <si>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</si>
  <si>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</si>
  <si>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</si>
  <si>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</si>
  <si>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</si>
  <si>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</si>
  <si>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</si>
  <si>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</si>
  <si>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</si>
  <si>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</si>
  <si>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</si>
  <si>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</si>
  <si>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</si>
  <si>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</si>
  <si>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</si>
  <si>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</si>
  <si>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</si>
  <si>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</si>
  <si>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</si>
  <si>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</si>
  <si>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</si>
  <si>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</si>
  <si>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</si>
  <si>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</si>
  <si>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</si>
  <si>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</si>
  <si>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</si>
  <si>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</si>
  <si>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</si>
  <si>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</si>
  <si>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</si>
  <si>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</si>
  <si>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</si>
  <si>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</si>
  <si>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</si>
  <si>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</si>
  <si>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</si>
  <si>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</si>
  <si>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</si>
  <si>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</si>
  <si>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</si>
  <si>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</si>
  <si>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</si>
  <si>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</si>
  <si>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</si>
  <si>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</si>
  <si>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</si>
  <si>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</si>
  <si>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</si>
  <si>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</si>
  <si>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</si>
  <si>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</si>
  <si>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</si>
  <si>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</si>
  <si>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</si>
  <si>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</si>
  <si>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</si>
  <si>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</si>
  <si>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</si>
  <si>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</si>
  <si>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</si>
  <si>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</si>
  <si>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</si>
  <si>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</si>
  <si>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</si>
  <si>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</si>
  <si>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</si>
  <si>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</si>
  <si>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</si>
  <si>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</si>
  <si>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</si>
  <si>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</si>
  <si>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</si>
  <si>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</si>
  <si>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</si>
  <si>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</si>
  <si>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</si>
  <si>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</si>
  <si>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</si>
  <si>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</si>
  <si>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</si>
  <si>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</si>
  <si>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</si>
  <si>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</si>
  <si>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</si>
  <si>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</si>
  <si>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</si>
  <si>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</si>
  <si>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</si>
  <si>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</si>
  <si>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</si>
  <si>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</si>
  <si>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</si>
  <si>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</si>
  <si>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</si>
  <si>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</si>
  <si>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</si>
  <si>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</si>
  <si>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</si>
  <si>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</si>
  <si>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</si>
  <si>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</si>
  <si>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</si>
  <si>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</si>
  <si>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</si>
  <si>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</si>
  <si>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</si>
  <si>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</si>
  <si>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</si>
  <si>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</si>
  <si>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</si>
  <si>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</si>
  <si>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</si>
  <si>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</si>
  <si>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</si>
  <si>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</si>
  <si>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</si>
  <si>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</si>
  <si>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</si>
  <si>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</si>
  <si>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</si>
  <si>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</si>
  <si>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Energieversorgung Filstal GmbH &amp; Co. KG</t>
  </si>
  <si>
    <t>Großeislinger Straße 30</t>
  </si>
  <si>
    <t>Göppingen</t>
  </si>
  <si>
    <t>EDM</t>
  </si>
  <si>
    <t>edm-gas@evf.de</t>
  </si>
  <si>
    <t>07161 6101 280</t>
  </si>
  <si>
    <t>Netz</t>
  </si>
  <si>
    <t>9870078000006</t>
  </si>
  <si>
    <t>NCHN007007800000</t>
  </si>
  <si>
    <t>Notzingen</t>
  </si>
  <si>
    <t>DE_HEF04</t>
  </si>
  <si>
    <t>DE_HMF04</t>
  </si>
  <si>
    <t>DE_GMK03</t>
  </si>
  <si>
    <t>DE_GKO04</t>
  </si>
  <si>
    <t>DE_GBD04</t>
  </si>
  <si>
    <t>DE_GGA01</t>
  </si>
  <si>
    <t>DE_GBH03</t>
  </si>
  <si>
    <t>DE_GHA03</t>
  </si>
  <si>
    <t>Q061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</si>
</sst>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49" fontId="0" fillId="33" borderId="17" xfId="0" applyNumberFormat="1" applyFont="1" applyFill="1" applyBorder="1" applyAlignment="1" applyProtection="1">
      <alignment horizontal="center"/>
      <protection locked="0"/>
    </xf>
    <xf numFmtId="49" fontId="12" fillId="0" borderId="0" xfId="3" applyNumberFormat="1" applyFont="1" applyFill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dm-gas@evf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9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6" sqref="D6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2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500</v>
      </c>
      <c r="D4" s="27">
        <v>45658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501</v>
      </c>
      <c r="D6" s="27">
        <v>45658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2" t="s">
        <v>664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261</v>
      </c>
      <c r="D15" s="43">
        <v>73033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264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6" t="s">
        <v>499</v>
      </c>
      <c r="D28" s="48" t="str">
        <f>IF(D27&lt;&gt;C28,VLOOKUP(D27,$C$29:$D$48,2,FALSE),C28)</f>
        <v>Netz</v>
      </c>
      <c r="E28" s="38"/>
      <c r="F28" s="11"/>
      <c r="G28" s="2"/>
    </row>
    <row r="29" spans="1:15">
      <c r="B29" s="15"/>
      <c r="C29" s="22" t="s">
        <v>393</v>
      </c>
      <c r="D29" s="45" t="s">
        <v>663</v>
      </c>
      <c r="E29" s="40"/>
      <c r="F29" s="11"/>
      <c r="G29" s="2"/>
    </row>
    <row r="30" spans="1:15">
      <c r="B30" s="15"/>
      <c r="C30" s="22" t="s">
        <v>394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428</v>
      </c>
      <c r="D38" s="46"/>
      <c r="E38" s="40"/>
      <c r="F38" s="47"/>
      <c r="G38" s="2"/>
    </row>
    <row r="39" spans="2:7">
      <c r="B39" s="15"/>
      <c r="C39" s="22" t="s">
        <v>429</v>
      </c>
      <c r="D39" s="46"/>
      <c r="E39" s="40"/>
      <c r="F39" s="47"/>
      <c r="G39" s="2"/>
    </row>
    <row r="40" spans="2:7">
      <c r="B40" s="15"/>
      <c r="C40" s="22" t="s">
        <v>430</v>
      </c>
      <c r="D40" s="46"/>
      <c r="E40" s="40"/>
      <c r="F40" s="47"/>
      <c r="G40" s="2"/>
    </row>
    <row r="41" spans="2:7">
      <c r="B41" s="15"/>
      <c r="C41" s="22" t="s">
        <v>431</v>
      </c>
      <c r="D41" s="46"/>
      <c r="E41" s="40"/>
      <c r="F41" s="47"/>
      <c r="G41" s="2"/>
    </row>
    <row r="42" spans="2:7">
      <c r="B42" s="15"/>
      <c r="C42" s="22" t="s">
        <v>432</v>
      </c>
      <c r="D42" s="46"/>
      <c r="E42" s="40"/>
      <c r="F42" s="47"/>
      <c r="G42" s="2"/>
    </row>
    <row r="43" spans="2:7">
      <c r="B43" s="15"/>
      <c r="C43" s="22" t="s">
        <v>433</v>
      </c>
      <c r="D43" s="46"/>
      <c r="E43" s="40"/>
      <c r="F43" s="47"/>
      <c r="G43" s="2"/>
    </row>
    <row r="44" spans="2:7">
      <c r="B44" s="15"/>
      <c r="C44" s="22" t="s">
        <v>434</v>
      </c>
      <c r="D44" s="46"/>
      <c r="E44" s="40"/>
      <c r="F44" s="47"/>
      <c r="G44" s="2"/>
    </row>
    <row r="45" spans="2:7">
      <c r="B45" s="15"/>
      <c r="C45" s="22" t="s">
        <v>435</v>
      </c>
      <c r="D45" s="46"/>
      <c r="E45" s="40"/>
      <c r="F45" s="47"/>
      <c r="G45" s="2"/>
    </row>
    <row r="46" spans="2:7">
      <c r="B46" s="15"/>
      <c r="C46" s="22" t="s">
        <v>436</v>
      </c>
      <c r="D46" s="46"/>
      <c r="E46" s="40"/>
      <c r="F46" s="47"/>
    </row>
    <row r="47" spans="2:7">
      <c r="B47" s="15"/>
      <c r="C47" s="22" t="s">
        <v>437</v>
      </c>
      <c r="D47" s="46"/>
      <c r="E47" s="40"/>
      <c r="F47" s="47"/>
    </row>
    <row r="48" spans="2:7">
      <c r="B48" s="15"/>
      <c r="C48" s="22" t="s">
        <v>438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45" priority="2">
      <formula>IF(CELL("Zeile",D29)&lt;$D$25+CELL("Zeile",$D$29),1,0)</formula>
    </cfRule>
  </conditionalFormatting>
  <conditionalFormatting sqref="D30:D48">
    <cfRule type="expression" dxfId="44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8" sqref="D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442</v>
      </c>
      <c r="D5" s="58" t="str">
        <f>Netzbetreiber!$D$9</f>
        <v>Energieversorgung Filstal GmbH &amp; Co. KG</v>
      </c>
      <c r="H5" s="68"/>
      <c r="I5" s="68"/>
      <c r="J5" s="68"/>
      <c r="K5" s="68"/>
    </row>
    <row r="6" spans="2:15" ht="15" customHeight="1">
      <c r="B6" s="22"/>
      <c r="C6" s="62" t="s">
        <v>441</v>
      </c>
      <c r="D6" s="58" t="str">
        <f>Netzbetreiber!D28</f>
        <v>Netz</v>
      </c>
      <c r="E6" s="15"/>
      <c r="H6" s="68"/>
      <c r="I6" s="68"/>
      <c r="J6" s="68"/>
      <c r="K6" s="68"/>
    </row>
    <row r="7" spans="2:15" ht="15" customHeight="1">
      <c r="B7" s="22"/>
      <c r="C7" s="60" t="s">
        <v>485</v>
      </c>
      <c r="D7" s="61" t="str">
        <f>Netzbetreiber!$D$11</f>
        <v>9870078000006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45658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7" t="s">
        <v>616</v>
      </c>
      <c r="I11" s="277" t="s">
        <v>617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653</v>
      </c>
      <c r="D13" s="42" t="s">
        <v>665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83</v>
      </c>
      <c r="C15" s="31" t="s">
        <v>366</v>
      </c>
      <c r="D15" s="49" t="s">
        <v>257</v>
      </c>
      <c r="E15" s="15"/>
      <c r="H15" s="275" t="s">
        <v>257</v>
      </c>
      <c r="I15" s="275" t="s">
        <v>135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575</v>
      </c>
      <c r="I16" s="276" t="s">
        <v>486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487</v>
      </c>
      <c r="I17" s="276" t="s">
        <v>488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84</v>
      </c>
      <c r="C19" s="8" t="s">
        <v>613</v>
      </c>
      <c r="D19" s="49" t="s">
        <v>609</v>
      </c>
      <c r="E19" s="15"/>
      <c r="H19" s="273" t="s">
        <v>609</v>
      </c>
      <c r="I19" s="273" t="s">
        <v>610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618</v>
      </c>
      <c r="E20" s="15"/>
      <c r="H20" s="273" t="s">
        <v>612</v>
      </c>
      <c r="I20" s="8" t="s">
        <v>608</v>
      </c>
      <c r="J20" s="8"/>
      <c r="K20" s="8"/>
      <c r="L20" s="274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3" t="s">
        <v>611</v>
      </c>
      <c r="I21" s="273" t="s">
        <v>618</v>
      </c>
      <c r="J21" s="8"/>
      <c r="K21" s="8"/>
      <c r="L21" s="276" t="s">
        <v>619</v>
      </c>
      <c r="M21" s="276" t="s">
        <v>621</v>
      </c>
      <c r="N21" s="276" t="s">
        <v>620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5" t="s">
        <v>134</v>
      </c>
      <c r="I23" s="275" t="s">
        <v>136</v>
      </c>
      <c r="J23" s="273"/>
      <c r="K23" s="273"/>
      <c r="L23" s="274"/>
    </row>
    <row r="24" spans="2:16" ht="15" customHeight="1">
      <c r="B24" s="7"/>
      <c r="C24" s="6" t="s">
        <v>622</v>
      </c>
      <c r="D24" s="42" t="s">
        <v>623</v>
      </c>
      <c r="E24" s="15"/>
      <c r="H24" s="309" t="s">
        <v>623</v>
      </c>
      <c r="I24" s="275" t="s">
        <v>624</v>
      </c>
      <c r="J24" s="275" t="s">
        <v>625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626</v>
      </c>
      <c r="I25" s="276" t="s">
        <v>627</v>
      </c>
      <c r="J25" s="276" t="s">
        <v>628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1"/>
      <c r="E26" s="15"/>
      <c r="H26" s="276" t="s">
        <v>629</v>
      </c>
      <c r="I26" s="276" t="s">
        <v>630</v>
      </c>
      <c r="J26" s="276" t="s">
        <v>631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5" t="s">
        <v>134</v>
      </c>
      <c r="I28" s="275" t="s">
        <v>136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632</v>
      </c>
      <c r="I29" s="276" t="s">
        <v>633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634</v>
      </c>
      <c r="I30" s="273" t="s">
        <v>629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491</v>
      </c>
      <c r="C32" s="24" t="s">
        <v>493</v>
      </c>
      <c r="D32" s="269">
        <v>9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3"/>
      <c r="J34" s="273"/>
      <c r="K34" s="273"/>
      <c r="L34" s="273"/>
      <c r="M34" s="274"/>
    </row>
    <row r="35" spans="2:39" customFormat="1" ht="15" customHeight="1">
      <c r="C35" s="8" t="s">
        <v>489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8"/>
      <c r="I37" s="68"/>
      <c r="J37" s="68"/>
      <c r="K37" s="68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60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5" t="s">
        <v>666</v>
      </c>
    </row>
    <row r="46" spans="2:39" ht="18" customHeight="1">
      <c r="C46" s="22" t="s">
        <v>587</v>
      </c>
      <c r="D46" s="45"/>
    </row>
    <row r="47" spans="2:39" ht="18" customHeight="1">
      <c r="C47" s="22" t="s">
        <v>588</v>
      </c>
      <c r="D47" s="45"/>
    </row>
    <row r="48" spans="2:39" ht="18" customHeight="1">
      <c r="C48" s="22" t="s">
        <v>589</v>
      </c>
      <c r="D48" s="45"/>
    </row>
    <row r="49" spans="3:4" ht="18" customHeight="1">
      <c r="C49" s="22" t="s">
        <v>590</v>
      </c>
      <c r="D49" s="45"/>
    </row>
    <row r="50" spans="3:4" ht="18" customHeight="1">
      <c r="C50" s="22" t="s">
        <v>591</v>
      </c>
      <c r="D50" s="45"/>
    </row>
    <row r="51" spans="3:4" ht="18" customHeight="1">
      <c r="C51" s="22" t="s">
        <v>592</v>
      </c>
      <c r="D51" s="45"/>
    </row>
    <row r="52" spans="3:4" ht="18" customHeight="1">
      <c r="C52" s="22" t="s">
        <v>593</v>
      </c>
      <c r="D52" s="45"/>
    </row>
    <row r="53" spans="3:4" ht="18" customHeight="1">
      <c r="C53" s="22" t="s">
        <v>594</v>
      </c>
      <c r="D53" s="45"/>
    </row>
    <row r="54" spans="3:4" ht="18" customHeight="1">
      <c r="C54" s="22" t="s">
        <v>595</v>
      </c>
      <c r="D54" s="45"/>
    </row>
    <row r="55" spans="3:4" ht="18" customHeight="1">
      <c r="C55" s="22" t="s">
        <v>596</v>
      </c>
      <c r="D55" s="45"/>
    </row>
    <row r="56" spans="3:4" ht="18" customHeight="1">
      <c r="C56" s="22" t="s">
        <v>597</v>
      </c>
      <c r="D56" s="45"/>
    </row>
    <row r="57" spans="3:4" ht="18" customHeight="1">
      <c r="C57" s="22" t="s">
        <v>598</v>
      </c>
      <c r="D57" s="45"/>
    </row>
    <row r="58" spans="3:4" ht="18" customHeight="1">
      <c r="C58" s="22" t="s">
        <v>599</v>
      </c>
      <c r="D58" s="45"/>
    </row>
    <row r="59" spans="3:4" ht="18" customHeight="1">
      <c r="C59" s="22" t="s">
        <v>600</v>
      </c>
      <c r="D59" s="45"/>
    </row>
  </sheetData>
  <conditionalFormatting sqref="D13">
    <cfRule type="expression" dxfId="43" priority="20">
      <formula>IF(#REF!="Gaspool",1,0)</formula>
    </cfRule>
  </conditionalFormatting>
  <conditionalFormatting sqref="D20">
    <cfRule type="expression" dxfId="42" priority="14">
      <formula>IF($D$19=$H$19,1,0)</formula>
    </cfRule>
  </conditionalFormatting>
  <conditionalFormatting sqref="D23:D25">
    <cfRule type="expression" dxfId="41" priority="4">
      <formula>IF($D$15="analytisch",1,0)</formula>
    </cfRule>
  </conditionalFormatting>
  <conditionalFormatting sqref="D24">
    <cfRule type="expression" dxfId="40" priority="2">
      <formula>IF($D$23="nein",1)</formula>
    </cfRule>
  </conditionalFormatting>
  <conditionalFormatting sqref="D25">
    <cfRule type="expression" dxfId="39" priority="1">
      <formula>IF(AND($D$24=$I$24,$D$23=$H$23),1,0)</formula>
    </cfRule>
  </conditionalFormatting>
  <conditionalFormatting sqref="D28">
    <cfRule type="expression" dxfId="38" priority="3">
      <formula>IF($D$15="synthetisch",1,0)</formula>
    </cfRule>
  </conditionalFormatting>
  <conditionalFormatting sqref="D45:D59">
    <cfRule type="expression" dxfId="37" priority="16">
      <formula>IF(CELL("Zeile",D45)&lt;$D$43+CELL("Zeile",$D$45),1,0)</formula>
    </cfRule>
  </conditionalFormatting>
  <conditionalFormatting sqref="D46:D59">
    <cfRule type="expression" dxfId="36" priority="15">
      <formula>IF(CELL(D46)&lt;$D$33+27,1,0)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F10" sqref="F10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71" hidden="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2" t="s">
        <v>544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657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Netz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353" t="s">
        <v>664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44105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522</v>
      </c>
      <c r="D9" s="131"/>
      <c r="E9" s="131"/>
      <c r="F9" s="155">
        <f>'SLP-Verfahren'!D43</f>
        <v>1</v>
      </c>
      <c r="H9" s="173" t="s">
        <v>601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585</v>
      </c>
      <c r="D10" s="131"/>
      <c r="E10" s="131"/>
      <c r="F10" s="300">
        <v>1</v>
      </c>
      <c r="G10" s="57"/>
      <c r="H10" s="173" t="s">
        <v>602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603</v>
      </c>
      <c r="D11" s="131"/>
      <c r="E11" s="131"/>
      <c r="F11" s="297" t="str">
        <f>INDEX('SLP-Verfahren'!D45:D59,'SLP-Temp-Gebiet #01'!F10)</f>
        <v>Notzingen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4" t="s">
        <v>584</v>
      </c>
      <c r="D13" s="354"/>
      <c r="E13" s="354"/>
      <c r="F13" s="184" t="s">
        <v>548</v>
      </c>
      <c r="G13" s="131" t="s">
        <v>546</v>
      </c>
      <c r="H13" s="266" t="s">
        <v>563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5" t="s">
        <v>445</v>
      </c>
      <c r="D14" s="355"/>
      <c r="E14" s="90" t="s">
        <v>446</v>
      </c>
      <c r="F14" s="267" t="s">
        <v>85</v>
      </c>
      <c r="G14" s="268" t="s">
        <v>572</v>
      </c>
      <c r="H14" s="51">
        <v>0</v>
      </c>
      <c r="I14" s="57"/>
      <c r="J14" s="131"/>
      <c r="K14" s="131"/>
      <c r="L14" s="131"/>
      <c r="M14" s="131"/>
      <c r="N14" s="131"/>
      <c r="O14" s="174" t="s">
        <v>527</v>
      </c>
      <c r="R14" s="210" t="s">
        <v>564</v>
      </c>
      <c r="S14" s="210" t="s">
        <v>565</v>
      </c>
      <c r="T14" s="210" t="s">
        <v>566</v>
      </c>
      <c r="U14" s="210" t="s">
        <v>567</v>
      </c>
      <c r="V14" s="210" t="s">
        <v>547</v>
      </c>
      <c r="W14" s="210" t="s">
        <v>568</v>
      </c>
      <c r="X14" s="210" t="s">
        <v>569</v>
      </c>
      <c r="Y14" s="210" t="s">
        <v>570</v>
      </c>
      <c r="Z14" s="210" t="s">
        <v>571</v>
      </c>
      <c r="AA14" s="210" t="s">
        <v>572</v>
      </c>
      <c r="AB14" s="210" t="s">
        <v>573</v>
      </c>
      <c r="AC14" s="210" t="s">
        <v>574</v>
      </c>
    </row>
    <row r="15" spans="1:56" ht="19.5" customHeight="1">
      <c r="B15" s="131"/>
      <c r="C15" s="355" t="s">
        <v>385</v>
      </c>
      <c r="D15" s="355"/>
      <c r="E15" s="90" t="s">
        <v>446</v>
      </c>
      <c r="F15" s="267" t="s">
        <v>71</v>
      </c>
      <c r="G15" s="268" t="s">
        <v>566</v>
      </c>
      <c r="H15" s="51">
        <v>0</v>
      </c>
      <c r="I15" s="57"/>
      <c r="J15" s="131"/>
      <c r="K15" s="131"/>
      <c r="L15" s="131"/>
      <c r="M15" s="131"/>
      <c r="N15" s="131"/>
      <c r="O15" s="162"/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549</v>
      </c>
      <c r="AJ15" s="265" t="s">
        <v>550</v>
      </c>
      <c r="AK15" s="265" t="s">
        <v>551</v>
      </c>
      <c r="AL15" s="265" t="s">
        <v>552</v>
      </c>
      <c r="AM15" s="265" t="s">
        <v>553</v>
      </c>
      <c r="AN15" s="265" t="s">
        <v>554</v>
      </c>
      <c r="AO15" s="265" t="s">
        <v>555</v>
      </c>
      <c r="AP15" s="265" t="s">
        <v>556</v>
      </c>
      <c r="AQ15" s="265" t="s">
        <v>557</v>
      </c>
      <c r="AR15" s="265" t="s">
        <v>558</v>
      </c>
      <c r="AS15" s="265" t="s">
        <v>559</v>
      </c>
      <c r="AT15" s="265" t="s">
        <v>560</v>
      </c>
      <c r="AU15" s="265" t="s">
        <v>561</v>
      </c>
      <c r="AV15" s="265" t="s">
        <v>562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517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523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518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525</v>
      </c>
      <c r="D21" s="154" t="s">
        <v>515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537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520</v>
      </c>
      <c r="D24" s="189"/>
      <c r="E24" s="157" t="s">
        <v>666</v>
      </c>
      <c r="F24" s="157" t="s">
        <v>582</v>
      </c>
      <c r="G24" s="157"/>
      <c r="H24" s="157"/>
      <c r="I24" s="157"/>
      <c r="J24" s="157"/>
      <c r="K24" s="157"/>
      <c r="L24" s="157"/>
      <c r="M24" s="157"/>
      <c r="N24" s="157"/>
      <c r="O24" s="186" t="s">
        <v>521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514</v>
      </c>
      <c r="D25" s="189"/>
      <c r="E25" s="161" t="s">
        <v>675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141</v>
      </c>
      <c r="D26" s="189"/>
      <c r="E26" s="157" t="s">
        <v>503</v>
      </c>
      <c r="F26" s="157" t="s">
        <v>503</v>
      </c>
      <c r="G26" s="157" t="s">
        <v>503</v>
      </c>
      <c r="H26" s="157" t="s">
        <v>503</v>
      </c>
      <c r="I26" s="157" t="s">
        <v>503</v>
      </c>
      <c r="J26" s="157" t="s">
        <v>503</v>
      </c>
      <c r="K26" s="157" t="s">
        <v>503</v>
      </c>
      <c r="L26" s="157" t="s">
        <v>503</v>
      </c>
      <c r="M26" s="157" t="s">
        <v>503</v>
      </c>
      <c r="N26" s="157" t="s">
        <v>503</v>
      </c>
      <c r="O26" s="186" t="s">
        <v>142</v>
      </c>
      <c r="Q26" s="212"/>
      <c r="R26" s="210" t="s">
        <v>503</v>
      </c>
      <c r="S26" s="210" t="s">
        <v>655</v>
      </c>
      <c r="T26" s="210" t="s">
        <v>656</v>
      </c>
      <c r="U26" s="210" t="s">
        <v>504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654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/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143</v>
      </c>
      <c r="P27" s="13"/>
      <c r="Q27" s="212"/>
      <c r="R27" s="210" t="s">
        <v>503</v>
      </c>
      <c r="S27" s="210" t="s">
        <v>504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519</v>
      </c>
      <c r="D29" s="131"/>
      <c r="E29" s="131"/>
      <c r="F29" s="49">
        <v>4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1</v>
      </c>
      <c r="G30" s="179">
        <f t="shared" si="2"/>
        <v>1</v>
      </c>
      <c r="H30" s="179">
        <f t="shared" si="2"/>
        <v>1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140</v>
      </c>
      <c r="D31" s="181" t="s">
        <v>256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144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526</v>
      </c>
      <c r="D32" s="187" t="s">
        <v>255</v>
      </c>
      <c r="E32" s="288">
        <f>1-SUMPRODUCT(F30:N30,F32:N32)</f>
        <v>0.5333</v>
      </c>
      <c r="F32" s="288">
        <f>ROUND(F33/$D$33,4)</f>
        <v>0.26669999999999999</v>
      </c>
      <c r="G32" s="288">
        <f t="shared" ref="G32:N32" si="3">ROUND(G33/$D$33,4)</f>
        <v>0.1333</v>
      </c>
      <c r="H32" s="288">
        <f t="shared" si="3"/>
        <v>6.6699999999999995E-2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533</v>
      </c>
      <c r="D33" s="294">
        <f>SUMPRODUCT(E33:N33,E30:N30)</f>
        <v>1.875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145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359</v>
      </c>
      <c r="D34" s="154" t="s">
        <v>358</v>
      </c>
      <c r="E34" s="157" t="s">
        <v>3</v>
      </c>
      <c r="F34" s="157" t="s">
        <v>357</v>
      </c>
      <c r="G34" s="157" t="s">
        <v>348</v>
      </c>
      <c r="H34" s="157" t="s">
        <v>349</v>
      </c>
      <c r="I34" s="157"/>
      <c r="J34" s="157"/>
      <c r="K34" s="157"/>
      <c r="L34" s="157"/>
      <c r="M34" s="157"/>
      <c r="N34" s="157"/>
      <c r="O34" s="186" t="s">
        <v>142</v>
      </c>
      <c r="Q34" s="212"/>
      <c r="R34" s="68" t="s">
        <v>3</v>
      </c>
      <c r="S34" s="68" t="s">
        <v>357</v>
      </c>
      <c r="T34" s="68" t="s">
        <v>348</v>
      </c>
      <c r="U34" s="68" t="s">
        <v>349</v>
      </c>
      <c r="V34" s="68" t="s">
        <v>350</v>
      </c>
      <c r="W34" s="68" t="s">
        <v>351</v>
      </c>
      <c r="X34" s="68" t="s">
        <v>352</v>
      </c>
      <c r="Y34" s="68" t="s">
        <v>353</v>
      </c>
      <c r="Z34" s="68" t="s">
        <v>354</v>
      </c>
      <c r="AA34" s="68" t="s">
        <v>355</v>
      </c>
      <c r="AB34" s="68" t="s">
        <v>356</v>
      </c>
    </row>
    <row r="35" spans="2:28">
      <c r="B35" s="184"/>
      <c r="C35" s="188" t="s">
        <v>448</v>
      </c>
      <c r="D35" s="154" t="s">
        <v>447</v>
      </c>
      <c r="E35" s="157" t="s">
        <v>511</v>
      </c>
      <c r="F35" s="157" t="s">
        <v>511</v>
      </c>
      <c r="G35" s="157" t="s">
        <v>511</v>
      </c>
      <c r="H35" s="157" t="s">
        <v>511</v>
      </c>
      <c r="I35" s="163"/>
      <c r="J35" s="163"/>
      <c r="K35" s="163"/>
      <c r="L35" s="163"/>
      <c r="M35" s="163"/>
      <c r="N35" s="163"/>
      <c r="O35" s="186" t="s">
        <v>142</v>
      </c>
      <c r="Q35" s="212"/>
      <c r="R35" s="68" t="s">
        <v>511</v>
      </c>
      <c r="S35" s="68" t="s">
        <v>512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605</v>
      </c>
      <c r="D36" s="154" t="s">
        <v>606</v>
      </c>
      <c r="E36" s="157" t="s">
        <v>604</v>
      </c>
      <c r="F36" s="157" t="s">
        <v>604</v>
      </c>
      <c r="G36" s="157" t="s">
        <v>604</v>
      </c>
      <c r="H36" s="157" t="s">
        <v>604</v>
      </c>
      <c r="I36" s="157" t="s">
        <v>604</v>
      </c>
      <c r="J36" s="157" t="s">
        <v>604</v>
      </c>
      <c r="K36" s="157" t="s">
        <v>604</v>
      </c>
      <c r="L36" s="157" t="s">
        <v>604</v>
      </c>
      <c r="M36" s="157" t="s">
        <v>604</v>
      </c>
      <c r="N36" s="157" t="s">
        <v>604</v>
      </c>
      <c r="O36" s="186" t="s">
        <v>142</v>
      </c>
      <c r="Q36" s="212"/>
      <c r="R36" s="68" t="s">
        <v>604</v>
      </c>
      <c r="S36" s="68" t="s">
        <v>607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440</v>
      </c>
      <c r="D37" s="120" t="s">
        <v>538</v>
      </c>
      <c r="E37" s="163" t="s">
        <v>449</v>
      </c>
      <c r="F37" s="163" t="s">
        <v>449</v>
      </c>
      <c r="G37" s="163" t="s">
        <v>450</v>
      </c>
      <c r="H37" s="163" t="s">
        <v>450</v>
      </c>
      <c r="I37" s="163"/>
      <c r="J37" s="163"/>
      <c r="K37" s="163"/>
      <c r="L37" s="163"/>
      <c r="M37" s="163"/>
      <c r="N37" s="163"/>
      <c r="O37" s="186" t="s">
        <v>142</v>
      </c>
      <c r="Q37" s="212"/>
      <c r="R37" s="68" t="s">
        <v>450</v>
      </c>
      <c r="S37" s="68" t="s">
        <v>449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8">
      <c r="B40" s="194"/>
      <c r="C40" s="198" t="s">
        <v>347</v>
      </c>
      <c r="D40" s="199"/>
      <c r="E40" s="199" t="s">
        <v>531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532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524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530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535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536</v>
      </c>
      <c r="D47" s="202" t="s">
        <v>534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>
      <c r="B48" s="194"/>
      <c r="C48" s="201" t="s">
        <v>346</v>
      </c>
      <c r="D48" s="202" t="s">
        <v>534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360</v>
      </c>
      <c r="K48" s="199"/>
      <c r="L48" s="199"/>
      <c r="M48" s="199"/>
      <c r="N48" s="199"/>
      <c r="O48" s="200"/>
    </row>
    <row r="49" spans="2:28" ht="15.7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7" t="s">
        <v>579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543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518</v>
      </c>
      <c r="D55" s="181" t="s">
        <v>513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144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525</v>
      </c>
      <c r="D56" s="154" t="s">
        <v>515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537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145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137</v>
      </c>
      <c r="D58" s="189"/>
      <c r="E58" s="157" t="str">
        <f>E23</f>
        <v>DWD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142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520</v>
      </c>
      <c r="D59" s="189"/>
      <c r="E59" s="157" t="str">
        <f>E24</f>
        <v>Notzingen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521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514</v>
      </c>
      <c r="D60" s="189"/>
      <c r="E60" s="161" t="str">
        <f>E25</f>
        <v>Q061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141</v>
      </c>
      <c r="D61" s="189"/>
      <c r="E61" s="159" t="str">
        <f>E26</f>
        <v>Temp. (2m)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142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519</v>
      </c>
      <c r="D63" s="131"/>
      <c r="E63" s="131"/>
      <c r="F63" s="158">
        <f>F29</f>
        <v>4</v>
      </c>
    </row>
    <row r="64" spans="2:28" ht="15" customHeight="1">
      <c r="E64" s="179">
        <f>IF(E65&gt;$F$63,0,1)</f>
        <v>1</v>
      </c>
      <c r="F64" s="179">
        <f t="shared" ref="F64:N64" si="11">IF(F65&gt;$F$63,0,1)</f>
        <v>1</v>
      </c>
      <c r="G64" s="179">
        <f t="shared" si="11"/>
        <v>1</v>
      </c>
      <c r="H64" s="179">
        <f t="shared" si="11"/>
        <v>1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140</v>
      </c>
      <c r="D65" s="181" t="s">
        <v>256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144</v>
      </c>
    </row>
    <row r="66" spans="2:15">
      <c r="B66" s="184"/>
      <c r="C66" s="185" t="s">
        <v>526</v>
      </c>
      <c r="D66" s="187" t="s">
        <v>255</v>
      </c>
      <c r="E66" s="288">
        <f>1-SUMPRODUCT(F64:N64,F66:N66)</f>
        <v>0.5333</v>
      </c>
      <c r="F66" s="288">
        <f>ROUND(F67/$D$67,4)</f>
        <v>0.26669999999999999</v>
      </c>
      <c r="G66" s="288">
        <f t="shared" ref="G66:N66" si="12">ROUND(G67/$D$67,4)</f>
        <v>0.1333</v>
      </c>
      <c r="H66" s="288">
        <f t="shared" si="12"/>
        <v>6.6699999999999995E-2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533</v>
      </c>
      <c r="D67" s="187">
        <f>SUMPRODUCT(E67:N67,E64:N64)</f>
        <v>1.875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145</v>
      </c>
    </row>
    <row r="68" spans="2:15">
      <c r="B68" s="184"/>
      <c r="C68" s="188" t="s">
        <v>359</v>
      </c>
      <c r="D68" s="154" t="s">
        <v>358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142</v>
      </c>
    </row>
    <row r="69" spans="2:15">
      <c r="B69" s="184"/>
      <c r="C69" s="188" t="s">
        <v>448</v>
      </c>
      <c r="D69" s="154" t="s">
        <v>447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142</v>
      </c>
    </row>
    <row r="70" spans="2:15">
      <c r="B70" s="184"/>
      <c r="C70" s="188" t="s">
        <v>605</v>
      </c>
      <c r="D70" s="154" t="s">
        <v>606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142</v>
      </c>
    </row>
    <row r="71" spans="2:15">
      <c r="B71" s="184"/>
      <c r="C71" s="193" t="s">
        <v>440</v>
      </c>
      <c r="D71" s="120" t="s">
        <v>538</v>
      </c>
      <c r="E71" s="164" t="s">
        <v>450</v>
      </c>
      <c r="F71" s="164" t="s">
        <v>450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142</v>
      </c>
    </row>
    <row r="72" spans="2:15"/>
    <row r="73" spans="2:15" ht="15.75" customHeight="1">
      <c r="C73" s="356" t="s">
        <v>580</v>
      </c>
      <c r="D73" s="356"/>
      <c r="E73" s="356"/>
      <c r="F73" s="356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G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544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Netz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522</v>
      </c>
      <c r="D9" s="131"/>
      <c r="E9" s="131"/>
      <c r="F9" s="155">
        <f>'SLP-Verfahren'!D43</f>
        <v>1</v>
      </c>
      <c r="H9" s="173" t="s">
        <v>601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585</v>
      </c>
      <c r="D10" s="131"/>
      <c r="E10" s="131"/>
      <c r="F10" s="300">
        <v>2</v>
      </c>
      <c r="G10" s="57"/>
      <c r="H10" s="173" t="s">
        <v>602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603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4" t="s">
        <v>584</v>
      </c>
      <c r="D13" s="354"/>
      <c r="E13" s="354"/>
      <c r="F13" s="184" t="s">
        <v>548</v>
      </c>
      <c r="G13" s="131" t="s">
        <v>546</v>
      </c>
      <c r="H13" s="266" t="s">
        <v>563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5" t="s">
        <v>445</v>
      </c>
      <c r="D14" s="355"/>
      <c r="E14" s="90" t="s">
        <v>446</v>
      </c>
      <c r="F14" s="267" t="s">
        <v>85</v>
      </c>
      <c r="G14" s="268" t="s">
        <v>572</v>
      </c>
      <c r="H14" s="51">
        <v>0</v>
      </c>
      <c r="I14" s="57"/>
      <c r="J14" s="131"/>
      <c r="K14" s="131"/>
      <c r="L14" s="131"/>
      <c r="M14" s="131"/>
      <c r="N14" s="131"/>
      <c r="O14" s="174" t="s">
        <v>527</v>
      </c>
      <c r="R14" s="210" t="s">
        <v>564</v>
      </c>
      <c r="S14" s="210" t="s">
        <v>565</v>
      </c>
      <c r="T14" s="210" t="s">
        <v>566</v>
      </c>
      <c r="U14" s="210" t="s">
        <v>567</v>
      </c>
      <c r="V14" s="210" t="s">
        <v>547</v>
      </c>
      <c r="W14" s="210" t="s">
        <v>568</v>
      </c>
      <c r="X14" s="210" t="s">
        <v>569</v>
      </c>
      <c r="Y14" s="210" t="s">
        <v>570</v>
      </c>
      <c r="Z14" s="210" t="s">
        <v>571</v>
      </c>
      <c r="AA14" s="210" t="s">
        <v>572</v>
      </c>
      <c r="AB14" s="210" t="s">
        <v>573</v>
      </c>
      <c r="AC14" s="210" t="s">
        <v>574</v>
      </c>
    </row>
    <row r="15" spans="1:56" ht="19.5" customHeight="1">
      <c r="B15" s="131"/>
      <c r="C15" s="355" t="s">
        <v>385</v>
      </c>
      <c r="D15" s="355"/>
      <c r="E15" s="90" t="s">
        <v>446</v>
      </c>
      <c r="F15" s="267" t="s">
        <v>71</v>
      </c>
      <c r="G15" s="268" t="s">
        <v>566</v>
      </c>
      <c r="H15" s="51">
        <v>0</v>
      </c>
      <c r="I15" s="57"/>
      <c r="J15" s="131"/>
      <c r="K15" s="131"/>
      <c r="L15" s="131"/>
      <c r="M15" s="131"/>
      <c r="N15" s="131"/>
      <c r="O15" s="162" t="s">
        <v>528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549</v>
      </c>
      <c r="AJ15" s="265" t="s">
        <v>550</v>
      </c>
      <c r="AK15" s="265" t="s">
        <v>551</v>
      </c>
      <c r="AL15" s="265" t="s">
        <v>552</v>
      </c>
      <c r="AM15" s="265" t="s">
        <v>553</v>
      </c>
      <c r="AN15" s="265" t="s">
        <v>554</v>
      </c>
      <c r="AO15" s="265" t="s">
        <v>555</v>
      </c>
      <c r="AP15" s="265" t="s">
        <v>556</v>
      </c>
      <c r="AQ15" s="265" t="s">
        <v>557</v>
      </c>
      <c r="AR15" s="265" t="s">
        <v>558</v>
      </c>
      <c r="AS15" s="265" t="s">
        <v>559</v>
      </c>
      <c r="AT15" s="265" t="s">
        <v>560</v>
      </c>
      <c r="AU15" s="265" t="s">
        <v>561</v>
      </c>
      <c r="AV15" s="265" t="s">
        <v>562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517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523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518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525</v>
      </c>
      <c r="D21" s="154" t="s">
        <v>515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537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520</v>
      </c>
      <c r="D24" s="189"/>
      <c r="E24" s="157" t="s">
        <v>581</v>
      </c>
      <c r="F24" s="157" t="s">
        <v>582</v>
      </c>
      <c r="G24" s="157"/>
      <c r="H24" s="157"/>
      <c r="I24" s="157"/>
      <c r="J24" s="157"/>
      <c r="K24" s="157"/>
      <c r="L24" s="157"/>
      <c r="M24" s="157"/>
      <c r="N24" s="157"/>
      <c r="O24" s="186" t="s">
        <v>521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514</v>
      </c>
      <c r="D25" s="189"/>
      <c r="E25" s="161" t="s">
        <v>361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141</v>
      </c>
      <c r="D26" s="189"/>
      <c r="E26" s="157" t="s">
        <v>503</v>
      </c>
      <c r="F26" s="157" t="s">
        <v>503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503</v>
      </c>
      <c r="S26" s="68" t="s">
        <v>504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519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526</v>
      </c>
      <c r="D31" s="187" t="s">
        <v>255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533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359</v>
      </c>
      <c r="D33" s="154" t="s">
        <v>358</v>
      </c>
      <c r="E33" s="157" t="s">
        <v>3</v>
      </c>
      <c r="F33" s="157" t="s">
        <v>357</v>
      </c>
      <c r="G33" s="157" t="s">
        <v>348</v>
      </c>
      <c r="H33" s="157" t="s">
        <v>349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357</v>
      </c>
      <c r="T33" s="68" t="s">
        <v>348</v>
      </c>
      <c r="U33" s="68" t="s">
        <v>349</v>
      </c>
      <c r="V33" s="68" t="s">
        <v>350</v>
      </c>
      <c r="W33" s="68" t="s">
        <v>351</v>
      </c>
      <c r="X33" s="68" t="s">
        <v>352</v>
      </c>
      <c r="Y33" s="68" t="s">
        <v>353</v>
      </c>
      <c r="Z33" s="68" t="s">
        <v>354</v>
      </c>
      <c r="AA33" s="68" t="s">
        <v>355</v>
      </c>
      <c r="AB33" s="68" t="s">
        <v>356</v>
      </c>
    </row>
    <row r="34" spans="2:28">
      <c r="B34" s="184"/>
      <c r="C34" s="188" t="s">
        <v>448</v>
      </c>
      <c r="D34" s="154" t="s">
        <v>447</v>
      </c>
      <c r="E34" s="157" t="s">
        <v>511</v>
      </c>
      <c r="F34" s="157" t="s">
        <v>511</v>
      </c>
      <c r="G34" s="157" t="s">
        <v>511</v>
      </c>
      <c r="H34" s="157" t="s">
        <v>511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511</v>
      </c>
      <c r="S34" s="68" t="s">
        <v>512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605</v>
      </c>
      <c r="D35" s="154" t="s">
        <v>606</v>
      </c>
      <c r="E35" s="157" t="s">
        <v>604</v>
      </c>
      <c r="F35" s="157" t="s">
        <v>604</v>
      </c>
      <c r="G35" s="157" t="s">
        <v>604</v>
      </c>
      <c r="H35" s="157" t="s">
        <v>604</v>
      </c>
      <c r="I35" s="157" t="s">
        <v>604</v>
      </c>
      <c r="J35" s="157" t="s">
        <v>604</v>
      </c>
      <c r="K35" s="157" t="s">
        <v>604</v>
      </c>
      <c r="L35" s="157" t="s">
        <v>604</v>
      </c>
      <c r="M35" s="157" t="s">
        <v>604</v>
      </c>
      <c r="N35" s="157" t="s">
        <v>604</v>
      </c>
      <c r="O35" s="186" t="s">
        <v>142</v>
      </c>
      <c r="Q35" s="212"/>
      <c r="R35" s="68" t="s">
        <v>604</v>
      </c>
      <c r="S35" s="68" t="s">
        <v>607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440</v>
      </c>
      <c r="D36" s="120" t="s">
        <v>538</v>
      </c>
      <c r="E36" s="163" t="s">
        <v>449</v>
      </c>
      <c r="F36" s="163" t="s">
        <v>449</v>
      </c>
      <c r="G36" s="163" t="s">
        <v>450</v>
      </c>
      <c r="H36" s="163" t="s">
        <v>450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450</v>
      </c>
      <c r="S36" s="68" t="s">
        <v>449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267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347</v>
      </c>
      <c r="D39" s="199"/>
      <c r="E39" s="199" t="s">
        <v>531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532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524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529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530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535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536</v>
      </c>
      <c r="D46" s="202" t="s">
        <v>534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360</v>
      </c>
      <c r="K46" s="199"/>
      <c r="L46" s="199"/>
      <c r="M46" s="199"/>
      <c r="N46" s="199"/>
      <c r="O46" s="200"/>
    </row>
    <row r="47" spans="2:28">
      <c r="B47" s="194"/>
      <c r="C47" s="201" t="s">
        <v>346</v>
      </c>
      <c r="D47" s="202" t="s">
        <v>534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579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543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518</v>
      </c>
      <c r="D54" s="181" t="s">
        <v>513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525</v>
      </c>
      <c r="D55" s="154" t="s">
        <v>515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537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520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521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514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519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>
      <c r="B65" s="184"/>
      <c r="C65" s="185" t="s">
        <v>526</v>
      </c>
      <c r="D65" s="187" t="s">
        <v>255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533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145</v>
      </c>
    </row>
    <row r="67" spans="2:15">
      <c r="B67" s="184"/>
      <c r="C67" s="188" t="s">
        <v>359</v>
      </c>
      <c r="D67" s="154" t="s">
        <v>358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>
      <c r="B68" s="184"/>
      <c r="C68" s="188" t="s">
        <v>448</v>
      </c>
      <c r="D68" s="154" t="s">
        <v>447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>
      <c r="B69" s="184"/>
      <c r="C69" s="188" t="s">
        <v>605</v>
      </c>
      <c r="D69" s="154" t="s">
        <v>606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>
      <c r="B70" s="184"/>
      <c r="C70" s="193" t="s">
        <v>440</v>
      </c>
      <c r="D70" s="120" t="s">
        <v>538</v>
      </c>
      <c r="E70" s="164" t="s">
        <v>450</v>
      </c>
      <c r="F70" s="164" t="s">
        <v>450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/>
    <row r="72" spans="2:15" ht="15.75" customHeight="1">
      <c r="C72" s="356" t="s">
        <v>580</v>
      </c>
      <c r="D72" s="356"/>
      <c r="E72" s="356"/>
      <c r="F72" s="356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abSelected="1" topLeftCell="C1" zoomScale="80" zoomScaleNormal="80" workbookViewId="0">
      <selection activeCell="Y12" sqref="Y12:Y20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1.85546875" style="129" customWidth="1"/>
    <col min="17" max="17" width="9.42578125" style="129" bestFit="1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362</v>
      </c>
    </row>
    <row r="3" spans="2:26">
      <c r="B3" s="131" t="s">
        <v>463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367</v>
      </c>
      <c r="D5" s="54" t="str">
        <f>Netzbetreiber!$D$9</f>
        <v>Energieversorgung Filstal GmbH &amp; Co. KG</v>
      </c>
      <c r="E5" s="131"/>
      <c r="H5" s="89" t="s">
        <v>495</v>
      </c>
      <c r="I5" s="132" t="s">
        <v>498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334</v>
      </c>
      <c r="D6" s="54" t="str">
        <f>Netzbetreiber!$D$28</f>
        <v>Netz</v>
      </c>
      <c r="E6" s="131"/>
      <c r="F6" s="131"/>
      <c r="I6" s="132" t="s">
        <v>508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485</v>
      </c>
      <c r="D7" s="54" t="str">
        <f>Netzbetreiber!$D$11</f>
        <v>9870078000006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45658</v>
      </c>
      <c r="E8" s="131"/>
      <c r="F8" s="131"/>
      <c r="H8" s="129" t="s">
        <v>493</v>
      </c>
      <c r="J8" s="133">
        <f>COUNTA(D12:D100)</f>
        <v>9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249</v>
      </c>
      <c r="C10" s="136" t="s">
        <v>492</v>
      </c>
      <c r="D10" s="135" t="s">
        <v>147</v>
      </c>
      <c r="E10" s="278" t="s">
        <v>510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635</v>
      </c>
      <c r="M10" s="151" t="s">
        <v>644</v>
      </c>
      <c r="N10" s="152" t="s">
        <v>645</v>
      </c>
      <c r="O10" s="152" t="s">
        <v>646</v>
      </c>
      <c r="P10" s="153" t="s">
        <v>647</v>
      </c>
      <c r="Q10" s="147" t="s">
        <v>636</v>
      </c>
      <c r="R10" s="137" t="s">
        <v>637</v>
      </c>
      <c r="S10" s="138" t="s">
        <v>638</v>
      </c>
      <c r="T10" s="138" t="s">
        <v>639</v>
      </c>
      <c r="U10" s="138" t="s">
        <v>640</v>
      </c>
      <c r="V10" s="138" t="s">
        <v>641</v>
      </c>
      <c r="W10" s="138" t="s">
        <v>642</v>
      </c>
      <c r="X10" s="139" t="s">
        <v>643</v>
      </c>
      <c r="Y10" s="306" t="s">
        <v>648</v>
      </c>
    </row>
    <row r="11" spans="2:26" ht="15.75" thickBot="1">
      <c r="B11" s="140" t="s">
        <v>494</v>
      </c>
      <c r="C11" s="141" t="s">
        <v>509</v>
      </c>
      <c r="D11" s="305" t="s">
        <v>248</v>
      </c>
      <c r="E11" s="165" t="s">
        <v>516</v>
      </c>
      <c r="F11" s="307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3">
        <v>365.12299999999999</v>
      </c>
    </row>
    <row r="12" spans="2:26">
      <c r="B12" s="142">
        <v>1</v>
      </c>
      <c r="C12" s="143" t="str">
        <f t="shared" ref="C12:C41" si="0">$D$6</f>
        <v>Netz</v>
      </c>
      <c r="D12" s="63" t="s">
        <v>248</v>
      </c>
      <c r="E12" s="166" t="s">
        <v>667</v>
      </c>
      <c r="F12" s="308" t="str">
        <f>VLOOKUP($E12,'BDEW-Standard'!$B$3:$M$94,F$9,0)</f>
        <v>D14</v>
      </c>
      <c r="H12" s="279">
        <f>ROUND(VLOOKUP($E12,'BDEW-Standard'!$B$3:$M$94,H$9,0),7)</f>
        <v>3.1850190999999999</v>
      </c>
      <c r="I12" s="279">
        <f>ROUND(VLOOKUP($E12,'BDEW-Standard'!$B$3:$M$94,I$9,0),7)</f>
        <v>-37.412415500000002</v>
      </c>
      <c r="J12" s="279">
        <f>ROUND(VLOOKUP($E12,'BDEW-Standard'!$B$3:$M$94,J$9,0),7)</f>
        <v>6.1723179000000004</v>
      </c>
      <c r="K12" s="279">
        <f>ROUND(VLOOKUP($E12,'BDEW-Standard'!$B$3:$M$94,K$9,0),7)</f>
        <v>7.6109599999999999E-2</v>
      </c>
      <c r="L12" s="280">
        <f>ROUND(VLOOKUP($E12,'BDEW-Standard'!$B$3:$M$94,L$9,0),1)</f>
        <v>40</v>
      </c>
      <c r="M12" s="279">
        <f>ROUND(VLOOKUP($E12,'BDEW-Standard'!$B$3:$M$94,M$9,0),7)</f>
        <v>0</v>
      </c>
      <c r="N12" s="279">
        <f>ROUND(VLOOKUP($E12,'BDEW-Standard'!$B$3:$M$94,N$9,0),7)</f>
        <v>0</v>
      </c>
      <c r="O12" s="279">
        <f>ROUND(VLOOKUP($E12,'BDEW-Standard'!$B$3:$M$94,O$9,0),7)</f>
        <v>0</v>
      </c>
      <c r="P12" s="279">
        <f>ROUND(VLOOKUP($E12,'BDEW-Standard'!$B$3:$M$94,P$9,0),7)</f>
        <v>0</v>
      </c>
      <c r="Q12" s="281">
        <f t="shared" ref="Q12:Q20" si="1">($H12/(1+($I12/($Q$9-$L12))^$J12)+$K12)+MAX($M12*$Q$9+$N12,$O12*$Q$9+$P12)</f>
        <v>0.95508749343949439</v>
      </c>
      <c r="R12" s="282">
        <f>ROUND(VLOOKUP(MID($E12,4,3),'Wochentag F(WT)'!$B$7:$J$22,R$9,0),4)</f>
        <v>1</v>
      </c>
      <c r="S12" s="282">
        <f>ROUND(VLOOKUP(MID($E12,4,3),'Wochentag F(WT)'!$B$7:$J$22,S$9,0),4)</f>
        <v>1</v>
      </c>
      <c r="T12" s="282">
        <f>ROUND(VLOOKUP(MID($E12,4,3),'Wochentag F(WT)'!$B$7:$J$22,T$9,0),4)</f>
        <v>1</v>
      </c>
      <c r="U12" s="282">
        <f>ROUND(VLOOKUP(MID($E12,4,3),'Wochentag F(WT)'!$B$7:$J$22,U$9,0),4)</f>
        <v>1</v>
      </c>
      <c r="V12" s="282">
        <f>ROUND(VLOOKUP(MID($E12,4,3),'Wochentag F(WT)'!$B$7:$J$22,V$9,0),4)</f>
        <v>1</v>
      </c>
      <c r="W12" s="282">
        <f>ROUND(VLOOKUP(MID($E12,4,3),'Wochentag F(WT)'!$B$7:$J$22,W$9,0),4)</f>
        <v>1</v>
      </c>
      <c r="X12" s="283">
        <f>7-SUM(R12:W12)</f>
        <v>1</v>
      </c>
      <c r="Y12" s="304">
        <v>288.6700000000003</v>
      </c>
      <c r="Z12" s="213"/>
    </row>
    <row r="13" spans="2:26" s="144" customFormat="1">
      <c r="B13" s="145">
        <v>2</v>
      </c>
      <c r="C13" s="146" t="str">
        <f t="shared" si="0"/>
        <v>Netz</v>
      </c>
      <c r="D13" s="63" t="s">
        <v>248</v>
      </c>
      <c r="E13" s="166" t="s">
        <v>668</v>
      </c>
      <c r="F13" s="308" t="str">
        <f>VLOOKUP($E13,'BDEW-Standard'!$B$3:$M$94,F$9,0)</f>
        <v>D24</v>
      </c>
      <c r="H13" s="279">
        <f>ROUND(VLOOKUP($E13,'BDEW-Standard'!$B$3:$M$94,H$9,0),7)</f>
        <v>2.5187775000000001</v>
      </c>
      <c r="I13" s="279">
        <f>ROUND(VLOOKUP($E13,'BDEW-Standard'!$B$3:$M$94,I$9,0),7)</f>
        <v>-35.033375399999997</v>
      </c>
      <c r="J13" s="279">
        <f>ROUND(VLOOKUP($E13,'BDEW-Standard'!$B$3:$M$94,J$9,0),7)</f>
        <v>6.2240634000000004</v>
      </c>
      <c r="K13" s="279">
        <f>ROUND(VLOOKUP($E13,'BDEW-Standard'!$B$3:$M$94,K$9,0),7)</f>
        <v>0.10107820000000001</v>
      </c>
      <c r="L13" s="280">
        <f>ROUND(VLOOKUP($E13,'BDEW-Standard'!$B$3:$M$94,L$9,0),1)</f>
        <v>40</v>
      </c>
      <c r="M13" s="279">
        <f>ROUND(VLOOKUP($E13,'BDEW-Standard'!$B$3:$M$94,M$9,0),7)</f>
        <v>0</v>
      </c>
      <c r="N13" s="279">
        <f>ROUND(VLOOKUP($E13,'BDEW-Standard'!$B$3:$M$94,N$9,0),7)</f>
        <v>0</v>
      </c>
      <c r="O13" s="279">
        <f>ROUND(VLOOKUP($E13,'BDEW-Standard'!$B$3:$M$94,O$9,0),7)</f>
        <v>0</v>
      </c>
      <c r="P13" s="279">
        <f>ROUND(VLOOKUP($E13,'BDEW-Standard'!$B$3:$M$94,P$9,0),7)</f>
        <v>0</v>
      </c>
      <c r="Q13" s="281">
        <f t="shared" si="1"/>
        <v>1.0146273685996503</v>
      </c>
      <c r="R13" s="282">
        <f>ROUND(VLOOKUP(MID($E13,4,3),'Wochentag F(WT)'!$B$7:$J$22,R$9,0),4)</f>
        <v>1</v>
      </c>
      <c r="S13" s="282">
        <f>ROUND(VLOOKUP(MID($E13,4,3),'Wochentag F(WT)'!$B$7:$J$22,S$9,0),4)</f>
        <v>1</v>
      </c>
      <c r="T13" s="282">
        <f>ROUND(VLOOKUP(MID($E13,4,3),'Wochentag F(WT)'!$B$7:$J$22,T$9,0),4)</f>
        <v>1</v>
      </c>
      <c r="U13" s="282">
        <f>ROUND(VLOOKUP(MID($E13,4,3),'Wochentag F(WT)'!$B$7:$J$22,U$9,0),4)</f>
        <v>1</v>
      </c>
      <c r="V13" s="282">
        <f>ROUND(VLOOKUP(MID($E13,4,3),'Wochentag F(WT)'!$B$7:$J$22,V$9,0),4)</f>
        <v>1</v>
      </c>
      <c r="W13" s="282">
        <f>ROUND(VLOOKUP(MID($E13,4,3),'Wochentag F(WT)'!$B$7:$J$22,W$9,0),4)</f>
        <v>1</v>
      </c>
      <c r="X13" s="283">
        <f t="shared" ref="X13:X20" si="2">7-SUM(R13:W13)</f>
        <v>1</v>
      </c>
      <c r="Y13" s="304">
        <v>295.1433333333332</v>
      </c>
      <c r="Z13" s="213"/>
    </row>
    <row r="14" spans="2:26" s="144" customFormat="1">
      <c r="B14" s="145">
        <v>3</v>
      </c>
      <c r="C14" s="146" t="str">
        <f t="shared" si="0"/>
        <v>Netz</v>
      </c>
      <c r="D14" s="63" t="s">
        <v>248</v>
      </c>
      <c r="E14" s="166" t="s">
        <v>4</v>
      </c>
      <c r="F14" s="308" t="str">
        <f>VLOOKUP($E14,'BDEW-Standard'!$B$3:$M$94,F$9,0)</f>
        <v>HK3</v>
      </c>
      <c r="H14" s="279">
        <f>ROUND(VLOOKUP($E14,'BDEW-Standard'!$B$3:$M$94,H$9,0),7)</f>
        <v>0.40409319999999999</v>
      </c>
      <c r="I14" s="279">
        <f>ROUND(VLOOKUP($E14,'BDEW-Standard'!$B$3:$M$94,I$9,0),7)</f>
        <v>-24.439296800000001</v>
      </c>
      <c r="J14" s="279">
        <f>ROUND(VLOOKUP($E14,'BDEW-Standard'!$B$3:$M$94,J$9,0),7)</f>
        <v>6.5718174999999999</v>
      </c>
      <c r="K14" s="279">
        <f>ROUND(VLOOKUP($E14,'BDEW-Standard'!$B$3:$M$94,K$9,0),7)</f>
        <v>0.71077100000000004</v>
      </c>
      <c r="L14" s="280">
        <f>ROUND(VLOOKUP($E14,'BDEW-Standard'!$B$3:$M$94,L$9,0),1)</f>
        <v>40</v>
      </c>
      <c r="M14" s="279">
        <f>ROUND(VLOOKUP($E14,'BDEW-Standard'!$B$3:$M$94,M$9,0),7)</f>
        <v>0</v>
      </c>
      <c r="N14" s="279">
        <f>ROUND(VLOOKUP($E14,'BDEW-Standard'!$B$3:$M$94,N$9,0),7)</f>
        <v>0</v>
      </c>
      <c r="O14" s="279">
        <f>ROUND(VLOOKUP($E14,'BDEW-Standard'!$B$3:$M$94,O$9,0),7)</f>
        <v>0</v>
      </c>
      <c r="P14" s="279">
        <f>ROUND(VLOOKUP($E14,'BDEW-Standard'!$B$3:$M$94,P$9,0),7)</f>
        <v>0</v>
      </c>
      <c r="Q14" s="281">
        <f t="shared" si="1"/>
        <v>1.0561214000512988</v>
      </c>
      <c r="R14" s="282">
        <f>ROUND(VLOOKUP(MID($E14,4,3),'Wochentag F(WT)'!$B$7:$J$22,R$9,0),4)</f>
        <v>1</v>
      </c>
      <c r="S14" s="282">
        <f>ROUND(VLOOKUP(MID($E14,4,3),'Wochentag F(WT)'!$B$7:$J$22,S$9,0),4)</f>
        <v>1</v>
      </c>
      <c r="T14" s="282">
        <f>ROUND(VLOOKUP(MID($E14,4,3),'Wochentag F(WT)'!$B$7:$J$22,T$9,0),4)</f>
        <v>1</v>
      </c>
      <c r="U14" s="282">
        <f>ROUND(VLOOKUP(MID($E14,4,3),'Wochentag F(WT)'!$B$7:$J$22,U$9,0),4)</f>
        <v>1</v>
      </c>
      <c r="V14" s="282">
        <f>ROUND(VLOOKUP(MID($E14,4,3),'Wochentag F(WT)'!$B$7:$J$22,V$9,0),4)</f>
        <v>1</v>
      </c>
      <c r="W14" s="282">
        <f>ROUND(VLOOKUP(MID($E14,4,3),'Wochentag F(WT)'!$B$7:$J$22,W$9,0),4)</f>
        <v>1</v>
      </c>
      <c r="X14" s="283">
        <f t="shared" si="2"/>
        <v>1</v>
      </c>
      <c r="Y14" s="304">
        <v>354.11999999999904</v>
      </c>
      <c r="Z14" s="213"/>
    </row>
    <row r="15" spans="2:26" s="144" customFormat="1">
      <c r="B15" s="145">
        <v>4</v>
      </c>
      <c r="C15" s="146" t="str">
        <f t="shared" si="0"/>
        <v>Netz</v>
      </c>
      <c r="D15" s="63" t="s">
        <v>248</v>
      </c>
      <c r="E15" s="166" t="s">
        <v>669</v>
      </c>
      <c r="F15" s="308" t="str">
        <f>VLOOKUP($E15,'BDEW-Standard'!$B$3:$M$94,F$9,0)</f>
        <v>MK3</v>
      </c>
      <c r="H15" s="279">
        <f>ROUND(VLOOKUP($E15,'BDEW-Standard'!$B$3:$M$94,H$9,0),7)</f>
        <v>2.7882424000000001</v>
      </c>
      <c r="I15" s="279">
        <f>ROUND(VLOOKUP($E15,'BDEW-Standard'!$B$3:$M$94,I$9,0),7)</f>
        <v>-34.880612999999997</v>
      </c>
      <c r="J15" s="279">
        <f>ROUND(VLOOKUP($E15,'BDEW-Standard'!$B$3:$M$94,J$9,0),7)</f>
        <v>6.5951899000000003</v>
      </c>
      <c r="K15" s="279">
        <f>ROUND(VLOOKUP($E15,'BDEW-Standard'!$B$3:$M$94,K$9,0),7)</f>
        <v>5.4032900000000002E-2</v>
      </c>
      <c r="L15" s="280">
        <f>ROUND(VLOOKUP($E15,'BDEW-Standard'!$B$3:$M$94,L$9,0),1)</f>
        <v>40</v>
      </c>
      <c r="M15" s="279">
        <f>ROUND(VLOOKUP($E15,'BDEW-Standard'!$B$3:$M$94,M$9,0),7)</f>
        <v>0</v>
      </c>
      <c r="N15" s="279">
        <f>ROUND(VLOOKUP($E15,'BDEW-Standard'!$B$3:$M$94,N$9,0),7)</f>
        <v>0</v>
      </c>
      <c r="O15" s="279">
        <f>ROUND(VLOOKUP($E15,'BDEW-Standard'!$B$3:$M$94,O$9,0),7)</f>
        <v>0</v>
      </c>
      <c r="P15" s="279">
        <f>ROUND(VLOOKUP($E15,'BDEW-Standard'!$B$3:$M$94,P$9,0),7)</f>
        <v>0</v>
      </c>
      <c r="Q15" s="281">
        <f t="shared" si="1"/>
        <v>1.0622306107520199</v>
      </c>
      <c r="R15" s="282">
        <f>ROUND(VLOOKUP(MID($E15,4,3),'Wochentag F(WT)'!$B$7:$J$22,R$9,0),4)</f>
        <v>1.0699000000000001</v>
      </c>
      <c r="S15" s="282">
        <f>ROUND(VLOOKUP(MID($E15,4,3),'Wochentag F(WT)'!$B$7:$J$22,S$9,0),4)</f>
        <v>1.0365</v>
      </c>
      <c r="T15" s="282">
        <f>ROUND(VLOOKUP(MID($E15,4,3),'Wochentag F(WT)'!$B$7:$J$22,T$9,0),4)</f>
        <v>0.99329999999999996</v>
      </c>
      <c r="U15" s="282">
        <f>ROUND(VLOOKUP(MID($E15,4,3),'Wochentag F(WT)'!$B$7:$J$22,U$9,0),4)</f>
        <v>0.99480000000000002</v>
      </c>
      <c r="V15" s="282">
        <f>ROUND(VLOOKUP(MID($E15,4,3),'Wochentag F(WT)'!$B$7:$J$22,V$9,0),4)</f>
        <v>1.0659000000000001</v>
      </c>
      <c r="W15" s="282">
        <f>ROUND(VLOOKUP(MID($E15,4,3),'Wochentag F(WT)'!$B$7:$J$22,W$9,0),4)</f>
        <v>0.93620000000000003</v>
      </c>
      <c r="X15" s="283">
        <f t="shared" si="2"/>
        <v>0.90339999999999954</v>
      </c>
      <c r="Y15" s="304">
        <v>303.45333333333366</v>
      </c>
      <c r="Z15" s="213"/>
    </row>
    <row r="16" spans="2:26" s="144" customFormat="1">
      <c r="B16" s="145">
        <v>5</v>
      </c>
      <c r="C16" s="146" t="str">
        <f t="shared" si="0"/>
        <v>Netz</v>
      </c>
      <c r="D16" s="63" t="s">
        <v>248</v>
      </c>
      <c r="E16" s="166" t="s">
        <v>670</v>
      </c>
      <c r="F16" s="308" t="str">
        <f>VLOOKUP($E16,'BDEW-Standard'!$B$3:$M$94,F$9,0)</f>
        <v>KO4</v>
      </c>
      <c r="H16" s="279">
        <f>ROUND(VLOOKUP($E16,'BDEW-Standard'!$B$3:$M$94,H$9,0),7)</f>
        <v>3.4428942999999999</v>
      </c>
      <c r="I16" s="279">
        <f>ROUND(VLOOKUP($E16,'BDEW-Standard'!$B$3:$M$94,I$9,0),7)</f>
        <v>-36.659050399999998</v>
      </c>
      <c r="J16" s="279">
        <f>ROUND(VLOOKUP($E16,'BDEW-Standard'!$B$3:$M$94,J$9,0),7)</f>
        <v>7.6083226000000002</v>
      </c>
      <c r="K16" s="279">
        <f>ROUND(VLOOKUP($E16,'BDEW-Standard'!$B$3:$M$94,K$9,0),7)</f>
        <v>7.4685000000000001E-2</v>
      </c>
      <c r="L16" s="280">
        <f>ROUND(VLOOKUP($E16,'BDEW-Standard'!$B$3:$M$94,L$9,0),1)</f>
        <v>40</v>
      </c>
      <c r="M16" s="279">
        <f>ROUND(VLOOKUP($E16,'BDEW-Standard'!$B$3:$M$94,M$9,0),7)</f>
        <v>0</v>
      </c>
      <c r="N16" s="279">
        <f>ROUND(VLOOKUP($E16,'BDEW-Standard'!$B$3:$M$94,N$9,0),7)</f>
        <v>0</v>
      </c>
      <c r="O16" s="279">
        <f>ROUND(VLOOKUP($E16,'BDEW-Standard'!$B$3:$M$94,O$9,0),7)</f>
        <v>0</v>
      </c>
      <c r="P16" s="279">
        <f>ROUND(VLOOKUP($E16,'BDEW-Standard'!$B$3:$M$94,P$9,0),7)</f>
        <v>0</v>
      </c>
      <c r="Q16" s="281">
        <f t="shared" si="1"/>
        <v>0.97768382110526542</v>
      </c>
      <c r="R16" s="282">
        <f>ROUND(VLOOKUP(MID($E16,4,3),'Wochentag F(WT)'!$B$7:$J$22,R$9,0),4)</f>
        <v>1.0354000000000001</v>
      </c>
      <c r="S16" s="282">
        <f>ROUND(VLOOKUP(MID($E16,4,3),'Wochentag F(WT)'!$B$7:$J$22,S$9,0),4)</f>
        <v>1.0523</v>
      </c>
      <c r="T16" s="282">
        <f>ROUND(VLOOKUP(MID($E16,4,3),'Wochentag F(WT)'!$B$7:$J$22,T$9,0),4)</f>
        <v>1.0448999999999999</v>
      </c>
      <c r="U16" s="282">
        <f>ROUND(VLOOKUP(MID($E16,4,3),'Wochentag F(WT)'!$B$7:$J$22,U$9,0),4)</f>
        <v>1.0494000000000001</v>
      </c>
      <c r="V16" s="282">
        <f>ROUND(VLOOKUP(MID($E16,4,3),'Wochentag F(WT)'!$B$7:$J$22,V$9,0),4)</f>
        <v>0.98850000000000005</v>
      </c>
      <c r="W16" s="282">
        <f>ROUND(VLOOKUP(MID($E16,4,3),'Wochentag F(WT)'!$B$7:$J$22,W$9,0),4)</f>
        <v>0.88600000000000001</v>
      </c>
      <c r="X16" s="283">
        <f t="shared" si="2"/>
        <v>0.94349999999999934</v>
      </c>
      <c r="Y16" s="304">
        <v>304.47333333333421</v>
      </c>
      <c r="Z16" s="213"/>
    </row>
    <row r="17" spans="2:26" s="144" customFormat="1">
      <c r="B17" s="145">
        <v>6</v>
      </c>
      <c r="C17" s="146" t="str">
        <f t="shared" si="0"/>
        <v>Netz</v>
      </c>
      <c r="D17" s="63" t="s">
        <v>248</v>
      </c>
      <c r="E17" s="166" t="s">
        <v>671</v>
      </c>
      <c r="F17" s="308" t="str">
        <f>VLOOKUP($E17,'BDEW-Standard'!$B$3:$M$94,F$9,0)</f>
        <v>BD4</v>
      </c>
      <c r="H17" s="279">
        <f>ROUND(VLOOKUP($E17,'BDEW-Standard'!$B$3:$M$94,H$9,0),7)</f>
        <v>3.75</v>
      </c>
      <c r="I17" s="279">
        <f>ROUND(VLOOKUP($E17,'BDEW-Standard'!$B$3:$M$94,I$9,0),7)</f>
        <v>-37.5</v>
      </c>
      <c r="J17" s="279">
        <f>ROUND(VLOOKUP($E17,'BDEW-Standard'!$B$3:$M$94,J$9,0),7)</f>
        <v>6.8</v>
      </c>
      <c r="K17" s="279">
        <f>ROUND(VLOOKUP($E17,'BDEW-Standard'!$B$3:$M$94,K$9,0),7)</f>
        <v>6.0911300000000002E-2</v>
      </c>
      <c r="L17" s="280">
        <f>ROUND(VLOOKUP($E17,'BDEW-Standard'!$B$3:$M$94,L$9,0),1)</f>
        <v>40</v>
      </c>
      <c r="M17" s="279">
        <f>ROUND(VLOOKUP($E17,'BDEW-Standard'!$B$3:$M$94,M$9,0),7)</f>
        <v>0</v>
      </c>
      <c r="N17" s="279">
        <f>ROUND(VLOOKUP($E17,'BDEW-Standard'!$B$3:$M$94,N$9,0),7)</f>
        <v>0</v>
      </c>
      <c r="O17" s="279">
        <f>ROUND(VLOOKUP($E17,'BDEW-Standard'!$B$3:$M$94,O$9,0),7)</f>
        <v>0</v>
      </c>
      <c r="P17" s="279">
        <f>ROUND(VLOOKUP($E17,'BDEW-Standard'!$B$3:$M$94,P$9,0),7)</f>
        <v>0</v>
      </c>
      <c r="Q17" s="281">
        <f t="shared" si="1"/>
        <v>1.0126136468627658</v>
      </c>
      <c r="R17" s="282">
        <f>ROUND(VLOOKUP(MID($E17,4,3),'Wochentag F(WT)'!$B$7:$J$22,R$9,0),4)</f>
        <v>1.1052</v>
      </c>
      <c r="S17" s="282">
        <f>ROUND(VLOOKUP(MID($E17,4,3),'Wochentag F(WT)'!$B$7:$J$22,S$9,0),4)</f>
        <v>1.0857000000000001</v>
      </c>
      <c r="T17" s="282">
        <f>ROUND(VLOOKUP(MID($E17,4,3),'Wochentag F(WT)'!$B$7:$J$22,T$9,0),4)</f>
        <v>1.0378000000000001</v>
      </c>
      <c r="U17" s="282">
        <f>ROUND(VLOOKUP(MID($E17,4,3),'Wochentag F(WT)'!$B$7:$J$22,U$9,0),4)</f>
        <v>1.0622</v>
      </c>
      <c r="V17" s="282">
        <f>ROUND(VLOOKUP(MID($E17,4,3),'Wochentag F(WT)'!$B$7:$J$22,V$9,0),4)</f>
        <v>1.0266</v>
      </c>
      <c r="W17" s="282">
        <f>ROUND(VLOOKUP(MID($E17,4,3),'Wochentag F(WT)'!$B$7:$J$22,W$9,0),4)</f>
        <v>0.76290000000000002</v>
      </c>
      <c r="X17" s="283">
        <f t="shared" si="2"/>
        <v>0.91959999999999997</v>
      </c>
      <c r="Y17" s="304">
        <v>310.8066666666677</v>
      </c>
      <c r="Z17" s="213"/>
    </row>
    <row r="18" spans="2:26" s="144" customFormat="1">
      <c r="B18" s="145">
        <v>7</v>
      </c>
      <c r="C18" s="146" t="str">
        <f t="shared" si="0"/>
        <v>Netz</v>
      </c>
      <c r="D18" s="63" t="s">
        <v>248</v>
      </c>
      <c r="E18" s="166" t="s">
        <v>672</v>
      </c>
      <c r="F18" s="308" t="str">
        <f>VLOOKUP($E18,'BDEW-Standard'!$B$3:$M$94,F$9,0)</f>
        <v>GA1</v>
      </c>
      <c r="H18" s="279">
        <f>ROUND(VLOOKUP($E18,'BDEW-Standard'!$B$3:$M$94,H$9,0),7)</f>
        <v>1.1770345</v>
      </c>
      <c r="I18" s="279">
        <f>ROUND(VLOOKUP($E18,'BDEW-Standard'!$B$3:$M$94,I$9,0),7)</f>
        <v>-39.159991400000003</v>
      </c>
      <c r="J18" s="279">
        <f>ROUND(VLOOKUP($E18,'BDEW-Standard'!$B$3:$M$94,J$9,0),7)</f>
        <v>4.207611</v>
      </c>
      <c r="K18" s="279">
        <f>ROUND(VLOOKUP($E18,'BDEW-Standard'!$B$3:$M$94,K$9,0),7)</f>
        <v>0.66047389999999995</v>
      </c>
      <c r="L18" s="280">
        <f>ROUND(VLOOKUP($E18,'BDEW-Standard'!$B$3:$M$94,L$9,0),1)</f>
        <v>40</v>
      </c>
      <c r="M18" s="279">
        <f>ROUND(VLOOKUP($E18,'BDEW-Standard'!$B$3:$M$94,M$9,0),7)</f>
        <v>0</v>
      </c>
      <c r="N18" s="279">
        <f>ROUND(VLOOKUP($E18,'BDEW-Standard'!$B$3:$M$94,N$9,0),7)</f>
        <v>0</v>
      </c>
      <c r="O18" s="279">
        <f>ROUND(VLOOKUP($E18,'BDEW-Standard'!$B$3:$M$94,O$9,0),7)</f>
        <v>0</v>
      </c>
      <c r="P18" s="279">
        <f>ROUND(VLOOKUP($E18,'BDEW-Standard'!$B$3:$M$94,P$9,0),7)</f>
        <v>0</v>
      </c>
      <c r="Q18" s="281">
        <f t="shared" si="1"/>
        <v>1.0130155914591956</v>
      </c>
      <c r="R18" s="282">
        <f>ROUND(VLOOKUP(MID($E18,4,3),'Wochentag F(WT)'!$B$7:$J$22,R$9,0),4)</f>
        <v>0.93220000000000003</v>
      </c>
      <c r="S18" s="282">
        <f>ROUND(VLOOKUP(MID($E18,4,3),'Wochentag F(WT)'!$B$7:$J$22,S$9,0),4)</f>
        <v>0.98939999999999995</v>
      </c>
      <c r="T18" s="282">
        <f>ROUND(VLOOKUP(MID($E18,4,3),'Wochentag F(WT)'!$B$7:$J$22,T$9,0),4)</f>
        <v>1.0033000000000001</v>
      </c>
      <c r="U18" s="282">
        <f>ROUND(VLOOKUP(MID($E18,4,3),'Wochentag F(WT)'!$B$7:$J$22,U$9,0),4)</f>
        <v>1.0108999999999999</v>
      </c>
      <c r="V18" s="282">
        <f>ROUND(VLOOKUP(MID($E18,4,3),'Wochentag F(WT)'!$B$7:$J$22,V$9,0),4)</f>
        <v>1.018</v>
      </c>
      <c r="W18" s="282">
        <f>ROUND(VLOOKUP(MID($E18,4,3),'Wochentag F(WT)'!$B$7:$J$22,W$9,0),4)</f>
        <v>1.0356000000000001</v>
      </c>
      <c r="X18" s="283">
        <f t="shared" si="2"/>
        <v>1.0106000000000002</v>
      </c>
      <c r="Y18" s="304">
        <v>344.50000000000028</v>
      </c>
      <c r="Z18" s="213"/>
    </row>
    <row r="19" spans="2:26" s="144" customFormat="1">
      <c r="B19" s="145">
        <v>8</v>
      </c>
      <c r="C19" s="146" t="str">
        <f t="shared" si="0"/>
        <v>Netz</v>
      </c>
      <c r="D19" s="63" t="s">
        <v>248</v>
      </c>
      <c r="E19" s="166" t="s">
        <v>673</v>
      </c>
      <c r="F19" s="308" t="str">
        <f>VLOOKUP($E19,'BDEW-Standard'!$B$3:$M$94,F$9,0)</f>
        <v>BH3</v>
      </c>
      <c r="H19" s="279">
        <f>ROUND(VLOOKUP($E19,'BDEW-Standard'!$B$3:$M$94,H$9,0),7)</f>
        <v>2.0102471999999998</v>
      </c>
      <c r="I19" s="279">
        <f>ROUND(VLOOKUP($E19,'BDEW-Standard'!$B$3:$M$94,I$9,0),7)</f>
        <v>-35.253212400000002</v>
      </c>
      <c r="J19" s="279">
        <f>ROUND(VLOOKUP($E19,'BDEW-Standard'!$B$3:$M$94,J$9,0),7)</f>
        <v>6.1544406</v>
      </c>
      <c r="K19" s="279">
        <f>ROUND(VLOOKUP($E19,'BDEW-Standard'!$B$3:$M$94,K$9,0),7)</f>
        <v>0.32947409999999999</v>
      </c>
      <c r="L19" s="280">
        <f>ROUND(VLOOKUP($E19,'BDEW-Standard'!$B$3:$M$94,L$9,0),1)</f>
        <v>40</v>
      </c>
      <c r="M19" s="279">
        <f>ROUND(VLOOKUP($E19,'BDEW-Standard'!$B$3:$M$94,M$9,0),7)</f>
        <v>0</v>
      </c>
      <c r="N19" s="279">
        <f>ROUND(VLOOKUP($E19,'BDEW-Standard'!$B$3:$M$94,N$9,0),7)</f>
        <v>0</v>
      </c>
      <c r="O19" s="279">
        <f>ROUND(VLOOKUP($E19,'BDEW-Standard'!$B$3:$M$94,O$9,0),7)</f>
        <v>0</v>
      </c>
      <c r="P19" s="279">
        <f>ROUND(VLOOKUP($E19,'BDEW-Standard'!$B$3:$M$94,P$9,0),7)</f>
        <v>0</v>
      </c>
      <c r="Q19" s="281">
        <f t="shared" si="1"/>
        <v>1.0436896084076008</v>
      </c>
      <c r="R19" s="282">
        <f>ROUND(VLOOKUP(MID($E19,4,3),'Wochentag F(WT)'!$B$7:$J$22,R$9,0),4)</f>
        <v>0.97670000000000001</v>
      </c>
      <c r="S19" s="282">
        <f>ROUND(VLOOKUP(MID($E19,4,3),'Wochentag F(WT)'!$B$7:$J$22,S$9,0),4)</f>
        <v>1.0388999999999999</v>
      </c>
      <c r="T19" s="282">
        <f>ROUND(VLOOKUP(MID($E19,4,3),'Wochentag F(WT)'!$B$7:$J$22,T$9,0),4)</f>
        <v>1.0027999999999999</v>
      </c>
      <c r="U19" s="282">
        <f>ROUND(VLOOKUP(MID($E19,4,3),'Wochentag F(WT)'!$B$7:$J$22,U$9,0),4)</f>
        <v>1.0162</v>
      </c>
      <c r="V19" s="282">
        <f>ROUND(VLOOKUP(MID($E19,4,3),'Wochentag F(WT)'!$B$7:$J$22,V$9,0),4)</f>
        <v>1.0024</v>
      </c>
      <c r="W19" s="282">
        <f>ROUND(VLOOKUP(MID($E19,4,3),'Wochentag F(WT)'!$B$7:$J$22,W$9,0),4)</f>
        <v>1.0043</v>
      </c>
      <c r="X19" s="283">
        <f t="shared" si="2"/>
        <v>0.95870000000000122</v>
      </c>
      <c r="Y19" s="304">
        <v>322.58000000000033</v>
      </c>
      <c r="Z19" s="213"/>
    </row>
    <row r="20" spans="2:26" s="144" customFormat="1">
      <c r="B20" s="145">
        <v>9</v>
      </c>
      <c r="C20" s="146" t="str">
        <f t="shared" si="0"/>
        <v>Netz</v>
      </c>
      <c r="D20" s="63" t="s">
        <v>248</v>
      </c>
      <c r="E20" s="166" t="s">
        <v>674</v>
      </c>
      <c r="F20" s="308" t="str">
        <f>VLOOKUP($E20,'BDEW-Standard'!$B$3:$M$94,F$9,0)</f>
        <v>HA3</v>
      </c>
      <c r="H20" s="279">
        <f>ROUND(VLOOKUP($E20,'BDEW-Standard'!$B$3:$M$94,H$9,0),7)</f>
        <v>3.5811213999999998</v>
      </c>
      <c r="I20" s="279">
        <f>ROUND(VLOOKUP($E20,'BDEW-Standard'!$B$3:$M$94,I$9,0),7)</f>
        <v>-36.965006500000001</v>
      </c>
      <c r="J20" s="279">
        <f>ROUND(VLOOKUP($E20,'BDEW-Standard'!$B$3:$M$94,J$9,0),7)</f>
        <v>7.2256947</v>
      </c>
      <c r="K20" s="279">
        <f>ROUND(VLOOKUP($E20,'BDEW-Standard'!$B$3:$M$94,K$9,0),7)</f>
        <v>4.4841600000000002E-2</v>
      </c>
      <c r="L20" s="280">
        <f>ROUND(VLOOKUP($E20,'BDEW-Standard'!$B$3:$M$94,L$9,0),1)</f>
        <v>40</v>
      </c>
      <c r="M20" s="279">
        <f>ROUND(VLOOKUP($E20,'BDEW-Standard'!$B$3:$M$94,M$9,0),7)</f>
        <v>0</v>
      </c>
      <c r="N20" s="279">
        <f>ROUND(VLOOKUP($E20,'BDEW-Standard'!$B$3:$M$94,N$9,0),7)</f>
        <v>0</v>
      </c>
      <c r="O20" s="279">
        <f>ROUND(VLOOKUP($E20,'BDEW-Standard'!$B$3:$M$94,O$9,0),7)</f>
        <v>0</v>
      </c>
      <c r="P20" s="279">
        <f>ROUND(VLOOKUP($E20,'BDEW-Standard'!$B$3:$M$94,P$9,0),7)</f>
        <v>0</v>
      </c>
      <c r="Q20" s="281">
        <f t="shared" si="1"/>
        <v>0.97852945357176691</v>
      </c>
      <c r="R20" s="282">
        <f>ROUND(VLOOKUP(MID($E20,4,3),'Wochentag F(WT)'!$B$7:$J$22,R$9,0),4)</f>
        <v>1.0358000000000001</v>
      </c>
      <c r="S20" s="282">
        <f>ROUND(VLOOKUP(MID($E20,4,3),'Wochentag F(WT)'!$B$7:$J$22,S$9,0),4)</f>
        <v>1.0232000000000001</v>
      </c>
      <c r="T20" s="282">
        <f>ROUND(VLOOKUP(MID($E20,4,3),'Wochentag F(WT)'!$B$7:$J$22,T$9,0),4)</f>
        <v>1.0251999999999999</v>
      </c>
      <c r="U20" s="282">
        <f>ROUND(VLOOKUP(MID($E20,4,3),'Wochentag F(WT)'!$B$7:$J$22,U$9,0),4)</f>
        <v>1.0295000000000001</v>
      </c>
      <c r="V20" s="282">
        <f>ROUND(VLOOKUP(MID($E20,4,3),'Wochentag F(WT)'!$B$7:$J$22,V$9,0),4)</f>
        <v>1.0253000000000001</v>
      </c>
      <c r="W20" s="282">
        <f>ROUND(VLOOKUP(MID($E20,4,3),'Wochentag F(WT)'!$B$7:$J$22,W$9,0),4)</f>
        <v>0.96750000000000003</v>
      </c>
      <c r="X20" s="283">
        <f t="shared" si="2"/>
        <v>0.89350000000000041</v>
      </c>
      <c r="Y20" s="304">
        <v>300.61333333333408</v>
      </c>
      <c r="Z20" s="213"/>
    </row>
    <row r="21" spans="2:26" s="144" customFormat="1">
      <c r="B21" s="145">
        <v>10</v>
      </c>
      <c r="C21" s="146" t="str">
        <f t="shared" si="0"/>
        <v>Netz</v>
      </c>
      <c r="D21" s="63"/>
      <c r="E21" s="166"/>
      <c r="F21" s="308"/>
      <c r="H21" s="279"/>
      <c r="I21" s="279"/>
      <c r="J21" s="279"/>
      <c r="K21" s="279"/>
      <c r="L21" s="280"/>
      <c r="M21" s="279"/>
      <c r="N21" s="279"/>
      <c r="O21" s="279"/>
      <c r="P21" s="279"/>
      <c r="Q21" s="281"/>
      <c r="R21" s="282"/>
      <c r="S21" s="282"/>
      <c r="T21" s="282"/>
      <c r="U21" s="282"/>
      <c r="V21" s="282"/>
      <c r="W21" s="282"/>
      <c r="X21" s="283"/>
      <c r="Y21" s="304"/>
      <c r="Z21" s="213"/>
    </row>
    <row r="22" spans="2:26" s="144" customFormat="1">
      <c r="B22" s="145">
        <v>11</v>
      </c>
      <c r="C22" s="146" t="str">
        <f t="shared" si="0"/>
        <v>Netz</v>
      </c>
      <c r="D22" s="63"/>
      <c r="E22" s="166"/>
      <c r="F22" s="308"/>
      <c r="H22" s="279"/>
      <c r="I22" s="279"/>
      <c r="J22" s="279"/>
      <c r="K22" s="279"/>
      <c r="L22" s="280"/>
      <c r="M22" s="279"/>
      <c r="N22" s="279"/>
      <c r="O22" s="279"/>
      <c r="P22" s="279"/>
      <c r="Q22" s="281"/>
      <c r="R22" s="282"/>
      <c r="S22" s="282"/>
      <c r="T22" s="282"/>
      <c r="U22" s="282"/>
      <c r="V22" s="282"/>
      <c r="W22" s="282"/>
      <c r="X22" s="283"/>
      <c r="Y22" s="304"/>
      <c r="Z22" s="213"/>
    </row>
    <row r="23" spans="2:26" s="144" customFormat="1">
      <c r="B23" s="145">
        <v>12</v>
      </c>
      <c r="C23" s="146" t="str">
        <f t="shared" si="0"/>
        <v>Netz</v>
      </c>
      <c r="D23" s="63"/>
      <c r="E23" s="166"/>
      <c r="F23" s="308"/>
      <c r="H23" s="279"/>
      <c r="I23" s="279"/>
      <c r="J23" s="279"/>
      <c r="K23" s="279"/>
      <c r="L23" s="280"/>
      <c r="M23" s="279"/>
      <c r="N23" s="279"/>
      <c r="O23" s="279"/>
      <c r="P23" s="279"/>
      <c r="Q23" s="281"/>
      <c r="R23" s="282"/>
      <c r="S23" s="282"/>
      <c r="T23" s="282"/>
      <c r="U23" s="282"/>
      <c r="V23" s="282"/>
      <c r="W23" s="282"/>
      <c r="X23" s="283"/>
      <c r="Y23" s="304"/>
      <c r="Z23" s="213"/>
    </row>
    <row r="24" spans="2:26" s="144" customFormat="1">
      <c r="B24" s="145">
        <v>13</v>
      </c>
      <c r="C24" s="146" t="str">
        <f t="shared" si="0"/>
        <v>Netz</v>
      </c>
      <c r="D24" s="63"/>
      <c r="E24" s="166"/>
      <c r="F24" s="308"/>
      <c r="H24" s="279"/>
      <c r="I24" s="279"/>
      <c r="J24" s="279"/>
      <c r="K24" s="279"/>
      <c r="L24" s="280"/>
      <c r="M24" s="279"/>
      <c r="N24" s="279"/>
      <c r="O24" s="279"/>
      <c r="P24" s="279"/>
      <c r="Q24" s="281"/>
      <c r="R24" s="282"/>
      <c r="S24" s="282"/>
      <c r="T24" s="282"/>
      <c r="U24" s="282"/>
      <c r="V24" s="282"/>
      <c r="W24" s="282"/>
      <c r="X24" s="283"/>
      <c r="Y24" s="304"/>
      <c r="Z24" s="213"/>
    </row>
    <row r="25" spans="2:26" s="144" customFormat="1">
      <c r="B25" s="145">
        <v>14</v>
      </c>
      <c r="C25" s="146" t="str">
        <f t="shared" si="0"/>
        <v>Netz</v>
      </c>
      <c r="D25" s="63"/>
      <c r="E25" s="166"/>
      <c r="F25" s="308"/>
      <c r="H25" s="279"/>
      <c r="I25" s="279"/>
      <c r="J25" s="279"/>
      <c r="K25" s="279"/>
      <c r="L25" s="280"/>
      <c r="M25" s="279"/>
      <c r="N25" s="279"/>
      <c r="O25" s="279"/>
      <c r="P25" s="279"/>
      <c r="Q25" s="281"/>
      <c r="R25" s="282"/>
      <c r="S25" s="282"/>
      <c r="T25" s="282"/>
      <c r="U25" s="282"/>
      <c r="V25" s="282"/>
      <c r="W25" s="282"/>
      <c r="X25" s="283"/>
      <c r="Y25" s="304"/>
      <c r="Z25" s="213"/>
    </row>
    <row r="26" spans="2:26" s="144" customFormat="1">
      <c r="B26" s="145">
        <v>15</v>
      </c>
      <c r="C26" s="146" t="str">
        <f t="shared" si="0"/>
        <v>Netz</v>
      </c>
      <c r="D26" s="63"/>
      <c r="E26" s="166"/>
      <c r="F26" s="308"/>
      <c r="H26" s="279"/>
      <c r="I26" s="279"/>
      <c r="J26" s="279"/>
      <c r="K26" s="279"/>
      <c r="L26" s="280"/>
      <c r="M26" s="279"/>
      <c r="N26" s="279"/>
      <c r="O26" s="279"/>
      <c r="P26" s="279"/>
      <c r="Q26" s="281"/>
      <c r="R26" s="282"/>
      <c r="S26" s="282"/>
      <c r="T26" s="282"/>
      <c r="U26" s="282"/>
      <c r="V26" s="282"/>
      <c r="W26" s="282"/>
      <c r="X26" s="283"/>
      <c r="Y26" s="304"/>
      <c r="Z26" s="213"/>
    </row>
    <row r="27" spans="2:26" s="144" customFormat="1">
      <c r="B27" s="145">
        <v>16</v>
      </c>
      <c r="C27" s="146" t="str">
        <f t="shared" si="0"/>
        <v>Netz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Netz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Netz</v>
      </c>
      <c r="D29" s="63"/>
      <c r="E29" s="167"/>
      <c r="F29" s="308"/>
      <c r="H29" s="284"/>
      <c r="I29" s="284"/>
      <c r="J29" s="284"/>
      <c r="K29" s="284"/>
      <c r="L29" s="286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Netz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Netz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Netz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Netz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Netz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Netz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Netz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Netz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Netz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Netz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Netz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Netz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F41 Y12:Y41">
    <cfRule type="duplicateValues" dxfId="9" priority="31"/>
  </conditionalFormatting>
  <conditionalFormatting sqref="H11:Y41 F11:F41">
    <cfRule type="expression" dxfId="8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344</v>
      </c>
      <c r="B1" s="217">
        <v>42173</v>
      </c>
      <c r="D1" s="132" t="s">
        <v>451</v>
      </c>
      <c r="F1" s="218" t="s">
        <v>545</v>
      </c>
      <c r="N1" s="219"/>
    </row>
    <row r="2" spans="1:14" ht="25.5">
      <c r="A2" s="220" t="s">
        <v>268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245</v>
      </c>
      <c r="B95" s="129" t="s">
        <v>50</v>
      </c>
      <c r="C95" s="129" t="s">
        <v>314</v>
      </c>
      <c r="D95" s="236" t="s">
        <v>269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319</v>
      </c>
      <c r="D96" s="236" t="s">
        <v>269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324</v>
      </c>
      <c r="D97" s="236" t="s">
        <v>269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329</v>
      </c>
      <c r="D98" s="236" t="s">
        <v>269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282</v>
      </c>
      <c r="D99" s="236" t="s">
        <v>269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286</v>
      </c>
      <c r="D100" s="236" t="s">
        <v>269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290</v>
      </c>
      <c r="D101" s="236" t="s">
        <v>269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294</v>
      </c>
      <c r="D102" s="236" t="s">
        <v>269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298</v>
      </c>
      <c r="D103" s="236" t="s">
        <v>269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302</v>
      </c>
      <c r="D104" s="236" t="s">
        <v>269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306</v>
      </c>
      <c r="D105" s="236" t="s">
        <v>269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310</v>
      </c>
      <c r="D106" s="236" t="s">
        <v>269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315</v>
      </c>
      <c r="D107" s="236" t="s">
        <v>269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320</v>
      </c>
      <c r="D108" s="236" t="s">
        <v>269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325</v>
      </c>
      <c r="D109" s="236" t="s">
        <v>269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330</v>
      </c>
      <c r="D110" s="236" t="s">
        <v>269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270</v>
      </c>
      <c r="D111" s="236" t="s">
        <v>269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271</v>
      </c>
      <c r="D112" s="236" t="s">
        <v>269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272</v>
      </c>
      <c r="D113" s="236" t="s">
        <v>269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273</v>
      </c>
      <c r="D114" s="236" t="s">
        <v>269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283</v>
      </c>
      <c r="D115" s="236" t="s">
        <v>269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287</v>
      </c>
      <c r="D116" s="236" t="s">
        <v>269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291</v>
      </c>
      <c r="D117" s="236" t="s">
        <v>269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295</v>
      </c>
      <c r="D118" s="236" t="s">
        <v>269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274</v>
      </c>
      <c r="D119" s="236" t="s">
        <v>269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276</v>
      </c>
      <c r="D120" s="236" t="s">
        <v>269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278</v>
      </c>
      <c r="D121" s="236" t="s">
        <v>269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280</v>
      </c>
      <c r="D122" s="236" t="s">
        <v>269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316</v>
      </c>
      <c r="D123" s="236" t="s">
        <v>269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321</v>
      </c>
      <c r="D124" s="236" t="s">
        <v>269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326</v>
      </c>
      <c r="D125" s="236" t="s">
        <v>269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331</v>
      </c>
      <c r="D126" s="236" t="s">
        <v>269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284</v>
      </c>
      <c r="D127" s="236" t="s">
        <v>269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288</v>
      </c>
      <c r="D128" s="236" t="s">
        <v>269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292</v>
      </c>
      <c r="D129" s="236" t="s">
        <v>269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296</v>
      </c>
      <c r="D130" s="236" t="s">
        <v>269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285</v>
      </c>
      <c r="D131" s="236" t="s">
        <v>269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289</v>
      </c>
      <c r="D132" s="236" t="s">
        <v>269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293</v>
      </c>
      <c r="D133" s="236" t="s">
        <v>269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297</v>
      </c>
      <c r="D134" s="236" t="s">
        <v>269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299</v>
      </c>
      <c r="D135" s="236" t="s">
        <v>269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303</v>
      </c>
      <c r="D136" s="236" t="s">
        <v>269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307</v>
      </c>
      <c r="D137" s="236" t="s">
        <v>269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311</v>
      </c>
      <c r="D138" s="236" t="s">
        <v>269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300</v>
      </c>
      <c r="D139" s="236" t="s">
        <v>269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304</v>
      </c>
      <c r="D140" s="236" t="s">
        <v>269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308</v>
      </c>
      <c r="D141" s="236" t="s">
        <v>269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312</v>
      </c>
      <c r="D142" s="236" t="s">
        <v>269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275</v>
      </c>
      <c r="D143" s="236" t="s">
        <v>269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277</v>
      </c>
      <c r="D144" s="236" t="s">
        <v>269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279</v>
      </c>
      <c r="D145" s="236" t="s">
        <v>269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281</v>
      </c>
      <c r="D146" s="236" t="s">
        <v>269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301</v>
      </c>
      <c r="D147" s="236" t="s">
        <v>269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305</v>
      </c>
      <c r="D148" s="236" t="s">
        <v>269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309</v>
      </c>
      <c r="D149" s="236" t="s">
        <v>269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313</v>
      </c>
      <c r="D150" s="236" t="s">
        <v>269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317</v>
      </c>
      <c r="D151" s="236" t="s">
        <v>269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322</v>
      </c>
      <c r="D152" s="236" t="s">
        <v>269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327</v>
      </c>
      <c r="D153" s="236" t="s">
        <v>269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332</v>
      </c>
      <c r="D154" s="236" t="s">
        <v>269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318</v>
      </c>
      <c r="D155" s="236" t="s">
        <v>269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323</v>
      </c>
      <c r="D156" s="236" t="s">
        <v>269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328</v>
      </c>
      <c r="D157" s="236" t="s">
        <v>269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333</v>
      </c>
      <c r="D158" s="236" t="s">
        <v>269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O5" sqref="O5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443</v>
      </c>
    </row>
    <row r="3" spans="2:30" ht="15" customHeight="1">
      <c r="B3" s="85"/>
    </row>
    <row r="4" spans="2:30" ht="15" customHeight="1">
      <c r="B4" s="86" t="s">
        <v>442</v>
      </c>
      <c r="C4" s="64" t="str">
        <f>Netzbetreiber!$D$9</f>
        <v>Energieversorgung Filstal GmbH &amp; Co. KG</v>
      </c>
      <c r="D4" s="77"/>
      <c r="G4" s="77"/>
      <c r="I4" s="77"/>
      <c r="J4" s="78"/>
      <c r="M4" s="87" t="s">
        <v>539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441</v>
      </c>
      <c r="C5" s="65" t="str">
        <f>Netzbetreiber!D28</f>
        <v>Netz</v>
      </c>
      <c r="D5" s="37"/>
      <c r="E5" s="77"/>
      <c r="F5" s="77"/>
      <c r="G5" s="77"/>
      <c r="I5" s="77"/>
      <c r="J5" s="77"/>
      <c r="K5" s="77"/>
      <c r="L5" s="77"/>
      <c r="M5" s="89" t="s">
        <v>507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439</v>
      </c>
      <c r="C6" s="64" t="str">
        <f>Netzbetreiber!$D$11</f>
        <v>9870078000006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133</v>
      </c>
      <c r="C7" s="59">
        <f>Netzbetreiber!$D$6</f>
        <v>45658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7" t="s">
        <v>455</v>
      </c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9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464</v>
      </c>
      <c r="N9" s="92" t="s">
        <v>369</v>
      </c>
      <c r="O9" s="93" t="s">
        <v>370</v>
      </c>
      <c r="P9" s="93" t="s">
        <v>371</v>
      </c>
      <c r="Q9" s="93" t="s">
        <v>372</v>
      </c>
      <c r="R9" s="93" t="s">
        <v>373</v>
      </c>
      <c r="S9" s="93" t="s">
        <v>374</v>
      </c>
      <c r="T9" s="93" t="s">
        <v>375</v>
      </c>
      <c r="U9" s="93" t="s">
        <v>376</v>
      </c>
      <c r="V9" s="93" t="s">
        <v>377</v>
      </c>
      <c r="W9" s="93" t="s">
        <v>378</v>
      </c>
      <c r="X9" s="93" t="s">
        <v>379</v>
      </c>
      <c r="Y9" s="93" t="s">
        <v>380</v>
      </c>
      <c r="Z9" s="93" t="s">
        <v>381</v>
      </c>
      <c r="AA9" s="93" t="s">
        <v>382</v>
      </c>
      <c r="AB9" s="93" t="s">
        <v>383</v>
      </c>
      <c r="AC9" s="94" t="s">
        <v>384</v>
      </c>
      <c r="AD9" s="94" t="s">
        <v>426</v>
      </c>
    </row>
    <row r="10" spans="2:30" ht="72" customHeight="1" thickBot="1">
      <c r="B10" s="362" t="s">
        <v>583</v>
      </c>
      <c r="C10" s="363"/>
      <c r="D10" s="95">
        <v>2</v>
      </c>
      <c r="E10" s="96" t="str">
        <f>IF(ISERROR(HLOOKUP(E$11,$M$9:$AD$35,$D10,0)),"",HLOOKUP(E$11,$M$9:$AD$35,$D10,0))</f>
        <v/>
      </c>
      <c r="F10" s="360" t="s">
        <v>395</v>
      </c>
      <c r="G10" s="360"/>
      <c r="H10" s="360"/>
      <c r="I10" s="360"/>
      <c r="J10" s="360"/>
      <c r="K10" s="360"/>
      <c r="L10" s="361"/>
      <c r="M10" s="97" t="s">
        <v>465</v>
      </c>
      <c r="N10" s="98" t="s">
        <v>466</v>
      </c>
      <c r="O10" s="99" t="s">
        <v>467</v>
      </c>
      <c r="P10" s="100" t="s">
        <v>468</v>
      </c>
      <c r="Q10" s="100" t="s">
        <v>469</v>
      </c>
      <c r="R10" s="100" t="s">
        <v>470</v>
      </c>
      <c r="S10" s="100" t="s">
        <v>471</v>
      </c>
      <c r="T10" s="100" t="s">
        <v>472</v>
      </c>
      <c r="U10" s="100" t="s">
        <v>473</v>
      </c>
      <c r="V10" s="100" t="s">
        <v>474</v>
      </c>
      <c r="W10" s="100" t="s">
        <v>475</v>
      </c>
      <c r="X10" s="100" t="s">
        <v>476</v>
      </c>
      <c r="Y10" s="100" t="s">
        <v>477</v>
      </c>
      <c r="Z10" s="100" t="s">
        <v>478</v>
      </c>
      <c r="AA10" s="100" t="s">
        <v>479</v>
      </c>
      <c r="AB10" s="100" t="s">
        <v>480</v>
      </c>
      <c r="AC10" s="101" t="s">
        <v>481</v>
      </c>
      <c r="AD10" s="102" t="s">
        <v>427</v>
      </c>
    </row>
    <row r="11" spans="2:30" ht="15.75" thickBot="1">
      <c r="B11" s="103" t="s">
        <v>418</v>
      </c>
      <c r="C11" s="104"/>
      <c r="D11" s="105">
        <v>3</v>
      </c>
      <c r="E11" s="106"/>
      <c r="F11" s="107" t="s">
        <v>386</v>
      </c>
      <c r="G11" s="108" t="s">
        <v>387</v>
      </c>
      <c r="H11" s="108" t="s">
        <v>388</v>
      </c>
      <c r="I11" s="108" t="s">
        <v>389</v>
      </c>
      <c r="J11" s="108" t="s">
        <v>390</v>
      </c>
      <c r="K11" s="108" t="s">
        <v>391</v>
      </c>
      <c r="L11" s="109" t="s">
        <v>392</v>
      </c>
      <c r="M11" s="72">
        <v>0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1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396</v>
      </c>
      <c r="C12" s="111"/>
      <c r="D12" s="112">
        <v>4</v>
      </c>
      <c r="E12" s="315">
        <f>MIN(SUMPRODUCT($M$11:$AD$11,M12:AD12),1)</f>
        <v>1</v>
      </c>
      <c r="F12" s="312" t="s">
        <v>392</v>
      </c>
      <c r="G12" s="79" t="s">
        <v>392</v>
      </c>
      <c r="H12" s="79" t="s">
        <v>392</v>
      </c>
      <c r="I12" s="79" t="s">
        <v>392</v>
      </c>
      <c r="J12" s="79" t="s">
        <v>392</v>
      </c>
      <c r="K12" s="79" t="s">
        <v>392</v>
      </c>
      <c r="L12" s="80" t="s">
        <v>392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397</v>
      </c>
      <c r="C13" s="118"/>
      <c r="D13" s="112">
        <v>5</v>
      </c>
      <c r="E13" s="316">
        <f t="shared" ref="E13:E35" si="0">MIN(SUMPRODUCT($M$11:$AD$11,M13:AD13),1)</f>
        <v>1</v>
      </c>
      <c r="F13" s="313" t="s">
        <v>392</v>
      </c>
      <c r="G13" s="81" t="s">
        <v>392</v>
      </c>
      <c r="H13" s="81" t="s">
        <v>392</v>
      </c>
      <c r="I13" s="81" t="s">
        <v>392</v>
      </c>
      <c r="J13" s="81" t="s">
        <v>392</v>
      </c>
      <c r="K13" s="81" t="s">
        <v>392</v>
      </c>
      <c r="L13" s="82" t="s">
        <v>392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398</v>
      </c>
      <c r="C14" s="118"/>
      <c r="D14" s="112">
        <v>6</v>
      </c>
      <c r="E14" s="316">
        <f t="shared" si="0"/>
        <v>0</v>
      </c>
      <c r="F14" s="313" t="s">
        <v>392</v>
      </c>
      <c r="G14" s="81" t="s">
        <v>399</v>
      </c>
      <c r="H14" s="81" t="s">
        <v>399</v>
      </c>
      <c r="I14" s="81" t="s">
        <v>399</v>
      </c>
      <c r="J14" s="81" t="s">
        <v>399</v>
      </c>
      <c r="K14" s="81" t="s">
        <v>399</v>
      </c>
      <c r="L14" s="82" t="s">
        <v>399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400</v>
      </c>
      <c r="C15" s="118"/>
      <c r="D15" s="112">
        <v>7</v>
      </c>
      <c r="E15" s="316">
        <f t="shared" si="0"/>
        <v>0</v>
      </c>
      <c r="F15" s="313" t="s">
        <v>399</v>
      </c>
      <c r="G15" s="81" t="s">
        <v>391</v>
      </c>
      <c r="H15" s="81" t="s">
        <v>399</v>
      </c>
      <c r="I15" s="81" t="s">
        <v>399</v>
      </c>
      <c r="J15" s="81" t="s">
        <v>399</v>
      </c>
      <c r="K15" s="81" t="s">
        <v>399</v>
      </c>
      <c r="L15" s="82" t="s">
        <v>399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412</v>
      </c>
      <c r="C16" s="118"/>
      <c r="D16" s="112">
        <v>8</v>
      </c>
      <c r="E16" s="316">
        <f t="shared" si="0"/>
        <v>1</v>
      </c>
      <c r="F16" s="313" t="s">
        <v>399</v>
      </c>
      <c r="G16" s="81" t="s">
        <v>399</v>
      </c>
      <c r="H16" s="81" t="s">
        <v>399</v>
      </c>
      <c r="I16" s="81" t="s">
        <v>399</v>
      </c>
      <c r="J16" s="81" t="s">
        <v>392</v>
      </c>
      <c r="K16" s="81" t="s">
        <v>399</v>
      </c>
      <c r="L16" s="82" t="s">
        <v>399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413</v>
      </c>
      <c r="C17" s="118"/>
      <c r="D17" s="112">
        <v>9</v>
      </c>
      <c r="E17" s="316">
        <f t="shared" si="0"/>
        <v>1</v>
      </c>
      <c r="F17" s="313" t="s">
        <v>399</v>
      </c>
      <c r="G17" s="81" t="s">
        <v>399</v>
      </c>
      <c r="H17" s="81" t="s">
        <v>399</v>
      </c>
      <c r="I17" s="81" t="s">
        <v>399</v>
      </c>
      <c r="J17" s="81" t="s">
        <v>399</v>
      </c>
      <c r="K17" s="81" t="s">
        <v>399</v>
      </c>
      <c r="L17" s="82" t="s">
        <v>392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414</v>
      </c>
      <c r="C18" s="118"/>
      <c r="D18" s="112">
        <v>10</v>
      </c>
      <c r="E18" s="316">
        <f t="shared" si="0"/>
        <v>1</v>
      </c>
      <c r="F18" s="313" t="s">
        <v>392</v>
      </c>
      <c r="G18" s="81" t="s">
        <v>399</v>
      </c>
      <c r="H18" s="81" t="s">
        <v>399</v>
      </c>
      <c r="I18" s="81" t="s">
        <v>399</v>
      </c>
      <c r="J18" s="81" t="s">
        <v>399</v>
      </c>
      <c r="K18" s="81" t="s">
        <v>399</v>
      </c>
      <c r="L18" s="82" t="s">
        <v>399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40" t="s">
        <v>651</v>
      </c>
      <c r="C19" s="341"/>
      <c r="D19" s="112"/>
      <c r="E19" s="316">
        <v>1</v>
      </c>
      <c r="F19" s="313" t="s">
        <v>392</v>
      </c>
      <c r="G19" s="81" t="s">
        <v>392</v>
      </c>
      <c r="H19" s="81" t="s">
        <v>392</v>
      </c>
      <c r="I19" s="81" t="s">
        <v>392</v>
      </c>
      <c r="J19" s="81" t="s">
        <v>392</v>
      </c>
      <c r="K19" s="81" t="s">
        <v>392</v>
      </c>
      <c r="L19" s="82" t="s">
        <v>392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401</v>
      </c>
      <c r="C20" s="118"/>
      <c r="D20" s="112">
        <v>11</v>
      </c>
      <c r="E20" s="316">
        <f t="shared" si="0"/>
        <v>1</v>
      </c>
      <c r="F20" s="313" t="s">
        <v>392</v>
      </c>
      <c r="G20" s="81" t="s">
        <v>392</v>
      </c>
      <c r="H20" s="81" t="s">
        <v>392</v>
      </c>
      <c r="I20" s="81" t="s">
        <v>392</v>
      </c>
      <c r="J20" s="81" t="s">
        <v>392</v>
      </c>
      <c r="K20" s="81" t="s">
        <v>392</v>
      </c>
      <c r="L20" s="82" t="s">
        <v>392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649</v>
      </c>
      <c r="C21" s="118"/>
      <c r="D21" s="112">
        <v>12</v>
      </c>
      <c r="E21" s="316">
        <f t="shared" si="0"/>
        <v>1</v>
      </c>
      <c r="F21" s="313" t="s">
        <v>399</v>
      </c>
      <c r="G21" s="81" t="s">
        <v>399</v>
      </c>
      <c r="H21" s="81" t="s">
        <v>399</v>
      </c>
      <c r="I21" s="81" t="s">
        <v>392</v>
      </c>
      <c r="J21" s="81" t="s">
        <v>399</v>
      </c>
      <c r="K21" s="81" t="s">
        <v>399</v>
      </c>
      <c r="L21" s="82" t="s">
        <v>399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415</v>
      </c>
      <c r="C22" s="118"/>
      <c r="D22" s="112">
        <v>13</v>
      </c>
      <c r="E22" s="316">
        <f t="shared" si="0"/>
        <v>1</v>
      </c>
      <c r="F22" s="313" t="s">
        <v>399</v>
      </c>
      <c r="G22" s="81" t="s">
        <v>399</v>
      </c>
      <c r="H22" s="81" t="s">
        <v>399</v>
      </c>
      <c r="I22" s="81" t="s">
        <v>399</v>
      </c>
      <c r="J22" s="81" t="s">
        <v>399</v>
      </c>
      <c r="K22" s="81" t="s">
        <v>399</v>
      </c>
      <c r="L22" s="82" t="s">
        <v>392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416</v>
      </c>
      <c r="C23" s="118"/>
      <c r="D23" s="112">
        <v>14</v>
      </c>
      <c r="E23" s="316">
        <f t="shared" si="0"/>
        <v>1</v>
      </c>
      <c r="F23" s="313" t="s">
        <v>392</v>
      </c>
      <c r="G23" s="81" t="s">
        <v>399</v>
      </c>
      <c r="H23" s="81" t="s">
        <v>399</v>
      </c>
      <c r="I23" s="81" t="s">
        <v>399</v>
      </c>
      <c r="J23" s="81" t="s">
        <v>399</v>
      </c>
      <c r="K23" s="81" t="s">
        <v>399</v>
      </c>
      <c r="L23" s="82" t="s">
        <v>399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417</v>
      </c>
      <c r="C24" s="118"/>
      <c r="D24" s="112">
        <v>15</v>
      </c>
      <c r="E24" s="316">
        <f t="shared" si="0"/>
        <v>1</v>
      </c>
      <c r="F24" s="313" t="s">
        <v>399</v>
      </c>
      <c r="G24" s="81" t="s">
        <v>399</v>
      </c>
      <c r="H24" s="81" t="s">
        <v>399</v>
      </c>
      <c r="I24" s="81" t="s">
        <v>392</v>
      </c>
      <c r="J24" s="81" t="s">
        <v>399</v>
      </c>
      <c r="K24" s="81" t="s">
        <v>399</v>
      </c>
      <c r="L24" s="82" t="s">
        <v>399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402</v>
      </c>
      <c r="C25" s="118"/>
      <c r="D25" s="112">
        <v>16</v>
      </c>
      <c r="E25" s="316">
        <f t="shared" si="0"/>
        <v>0</v>
      </c>
      <c r="F25" s="313" t="s">
        <v>392</v>
      </c>
      <c r="G25" s="81" t="s">
        <v>392</v>
      </c>
      <c r="H25" s="81" t="s">
        <v>392</v>
      </c>
      <c r="I25" s="81" t="s">
        <v>392</v>
      </c>
      <c r="J25" s="81" t="s">
        <v>392</v>
      </c>
      <c r="K25" s="81" t="s">
        <v>392</v>
      </c>
      <c r="L25" s="82" t="s">
        <v>392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403</v>
      </c>
      <c r="C26" s="118"/>
      <c r="D26" s="112">
        <v>17</v>
      </c>
      <c r="E26" s="316">
        <f t="shared" si="0"/>
        <v>0</v>
      </c>
      <c r="F26" s="313" t="s">
        <v>392</v>
      </c>
      <c r="G26" s="81" t="s">
        <v>392</v>
      </c>
      <c r="H26" s="81" t="s">
        <v>392</v>
      </c>
      <c r="I26" s="81" t="s">
        <v>392</v>
      </c>
      <c r="J26" s="81" t="s">
        <v>392</v>
      </c>
      <c r="K26" s="81" t="s">
        <v>392</v>
      </c>
      <c r="L26" s="82" t="s">
        <v>392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40" t="s">
        <v>650</v>
      </c>
      <c r="C27" s="341"/>
      <c r="D27" s="112"/>
      <c r="E27" s="316">
        <v>1</v>
      </c>
      <c r="F27" s="313" t="s">
        <v>392</v>
      </c>
      <c r="G27" s="81" t="s">
        <v>392</v>
      </c>
      <c r="H27" s="81" t="s">
        <v>392</v>
      </c>
      <c r="I27" s="81" t="s">
        <v>392</v>
      </c>
      <c r="J27" s="81" t="s">
        <v>392</v>
      </c>
      <c r="K27" s="81" t="s">
        <v>392</v>
      </c>
      <c r="L27" s="82" t="s">
        <v>392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404</v>
      </c>
      <c r="C28" s="118"/>
      <c r="D28" s="112">
        <v>18</v>
      </c>
      <c r="E28" s="316">
        <f t="shared" si="0"/>
        <v>1</v>
      </c>
      <c r="F28" s="313" t="s">
        <v>392</v>
      </c>
      <c r="G28" s="81" t="s">
        <v>392</v>
      </c>
      <c r="H28" s="81" t="s">
        <v>392</v>
      </c>
      <c r="I28" s="81" t="s">
        <v>392</v>
      </c>
      <c r="J28" s="81" t="s">
        <v>392</v>
      </c>
      <c r="K28" s="81" t="s">
        <v>392</v>
      </c>
      <c r="L28" s="82" t="s">
        <v>392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5">
      <c r="B29" s="340" t="s">
        <v>405</v>
      </c>
      <c r="C29" s="341"/>
      <c r="D29" s="342">
        <v>19</v>
      </c>
      <c r="E29" s="343">
        <v>1</v>
      </c>
      <c r="F29" s="313" t="s">
        <v>392</v>
      </c>
      <c r="G29" s="313" t="s">
        <v>392</v>
      </c>
      <c r="H29" s="313" t="s">
        <v>392</v>
      </c>
      <c r="I29" s="313" t="s">
        <v>392</v>
      </c>
      <c r="J29" s="313" t="s">
        <v>392</v>
      </c>
      <c r="K29" s="313" t="s">
        <v>392</v>
      </c>
      <c r="L29" s="313" t="s">
        <v>392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5">
      <c r="B30" s="117" t="s">
        <v>406</v>
      </c>
      <c r="C30" s="118"/>
      <c r="D30" s="112">
        <v>20</v>
      </c>
      <c r="E30" s="316">
        <f t="shared" si="0"/>
        <v>1</v>
      </c>
      <c r="F30" s="313" t="s">
        <v>392</v>
      </c>
      <c r="G30" s="81" t="s">
        <v>392</v>
      </c>
      <c r="H30" s="81" t="s">
        <v>392</v>
      </c>
      <c r="I30" s="81" t="s">
        <v>392</v>
      </c>
      <c r="J30" s="81" t="s">
        <v>392</v>
      </c>
      <c r="K30" s="81" t="s">
        <v>392</v>
      </c>
      <c r="L30" s="82" t="s">
        <v>392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407</v>
      </c>
      <c r="C31" s="118"/>
      <c r="D31" s="112">
        <v>21</v>
      </c>
      <c r="E31" s="316">
        <f t="shared" si="0"/>
        <v>0</v>
      </c>
      <c r="F31" s="313" t="s">
        <v>399</v>
      </c>
      <c r="G31" s="81" t="s">
        <v>399</v>
      </c>
      <c r="H31" s="81" t="s">
        <v>392</v>
      </c>
      <c r="I31" s="81" t="s">
        <v>399</v>
      </c>
      <c r="J31" s="81" t="s">
        <v>399</v>
      </c>
      <c r="K31" s="81" t="s">
        <v>399</v>
      </c>
      <c r="L31" s="82" t="s">
        <v>399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408</v>
      </c>
      <c r="C32" s="118"/>
      <c r="D32" s="112">
        <v>22</v>
      </c>
      <c r="E32" s="316">
        <f t="shared" si="0"/>
        <v>0</v>
      </c>
      <c r="F32" s="313" t="s">
        <v>391</v>
      </c>
      <c r="G32" s="81" t="s">
        <v>391</v>
      </c>
      <c r="H32" s="81" t="s">
        <v>391</v>
      </c>
      <c r="I32" s="81" t="s">
        <v>391</v>
      </c>
      <c r="J32" s="81" t="s">
        <v>391</v>
      </c>
      <c r="K32" s="81" t="s">
        <v>391</v>
      </c>
      <c r="L32" s="82" t="s">
        <v>392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409</v>
      </c>
      <c r="C33" s="118"/>
      <c r="D33" s="112">
        <v>23</v>
      </c>
      <c r="E33" s="316">
        <f t="shared" si="0"/>
        <v>1</v>
      </c>
      <c r="F33" s="313" t="s">
        <v>392</v>
      </c>
      <c r="G33" s="81" t="s">
        <v>392</v>
      </c>
      <c r="H33" s="81" t="s">
        <v>392</v>
      </c>
      <c r="I33" s="81" t="s">
        <v>392</v>
      </c>
      <c r="J33" s="81" t="s">
        <v>392</v>
      </c>
      <c r="K33" s="81" t="s">
        <v>392</v>
      </c>
      <c r="L33" s="82" t="s">
        <v>392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410</v>
      </c>
      <c r="C34" s="118"/>
      <c r="D34" s="112">
        <v>24</v>
      </c>
      <c r="E34" s="316">
        <f t="shared" si="0"/>
        <v>1</v>
      </c>
      <c r="F34" s="313" t="s">
        <v>392</v>
      </c>
      <c r="G34" s="81" t="s">
        <v>392</v>
      </c>
      <c r="H34" s="81" t="s">
        <v>392</v>
      </c>
      <c r="I34" s="81" t="s">
        <v>392</v>
      </c>
      <c r="J34" s="81" t="s">
        <v>392</v>
      </c>
      <c r="K34" s="81" t="s">
        <v>392</v>
      </c>
      <c r="L34" s="82" t="s">
        <v>392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411</v>
      </c>
      <c r="C35" s="124"/>
      <c r="D35" s="125">
        <v>25</v>
      </c>
      <c r="E35" s="317">
        <f t="shared" si="0"/>
        <v>0</v>
      </c>
      <c r="F35" s="314" t="s">
        <v>391</v>
      </c>
      <c r="G35" s="83" t="s">
        <v>391</v>
      </c>
      <c r="H35" s="83" t="s">
        <v>391</v>
      </c>
      <c r="I35" s="83" t="s">
        <v>391</v>
      </c>
      <c r="J35" s="83" t="s">
        <v>391</v>
      </c>
      <c r="K35" s="83" t="s">
        <v>391</v>
      </c>
      <c r="L35" s="84" t="s">
        <v>392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452</v>
      </c>
      <c r="B1" s="129"/>
      <c r="D1" s="218" t="s">
        <v>545</v>
      </c>
    </row>
    <row r="2" spans="1:16">
      <c r="A2" s="238"/>
      <c r="B2" s="237" t="s">
        <v>453</v>
      </c>
    </row>
    <row r="3" spans="1:16" ht="20.100000000000001" customHeight="1">
      <c r="A3" s="364" t="s">
        <v>249</v>
      </c>
      <c r="B3" s="239" t="s">
        <v>86</v>
      </c>
      <c r="C3" s="240"/>
      <c r="D3" s="366" t="s">
        <v>454</v>
      </c>
      <c r="E3" s="367"/>
      <c r="F3" s="367"/>
      <c r="G3" s="367"/>
      <c r="H3" s="367"/>
      <c r="I3" s="367"/>
      <c r="J3" s="368"/>
      <c r="K3" s="241"/>
      <c r="L3" s="241"/>
      <c r="M3" s="241"/>
      <c r="N3" s="241"/>
      <c r="O3" s="242"/>
      <c r="P3" s="241"/>
    </row>
    <row r="4" spans="1:16" ht="20.100000000000001" customHeight="1">
      <c r="A4" s="365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365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365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5.5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18b9f00-f4e5-4488-840e-6084e0f1107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Rau, Daniela</cp:lastModifiedBy>
  <cp:lastPrinted>2015-03-20T22:59:10Z</cp:lastPrinted>
  <dcterms:created xsi:type="dcterms:W3CDTF">2015-01-15T05:25:41Z</dcterms:created>
  <dcterms:modified xsi:type="dcterms:W3CDTF">2025-01-22T10:39:46Z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