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L:\KMC\Regulierung\Gas\Netzentgeltkalkulationen\Preisblätter\Preisblatt vom 01.01.2025-31.12.2025\Entgeltrechner\"/>
    </mc:Choice>
  </mc:AlternateContent>
  <xr:revisionPtr revIDLastSave="0" documentId="8_{84A123AF-1618-438D-93A9-B822057BDCC8}" xr6:coauthVersionLast="47" xr6:coauthVersionMax="47" xr10:uidLastSave="{00000000-0000-0000-0000-000000000000}"/>
  <workbookProtection workbookAlgorithmName="SHA-512" workbookHashValue="WNpc7EcAJqhJH7OLHnRkkA6f9UCfn8M+X9kA5ukLCKWjgts65l3XnS6yh5b7p2fOA5cjH6v7CdDPjmEYPWJ+7A==" workbookSaltValue="rhB+8RKhJ/gklEvbTXlQew==" workbookSpinCount="100000" lockStructure="1"/>
  <bookViews>
    <workbookView xWindow="-120" yWindow="-120" windowWidth="29040" windowHeight="15720" tabRatio="533" xr2:uid="{00000000-000D-0000-FFFF-FFFF00000000}"/>
  </bookViews>
  <sheets>
    <sheet name="Entgeltrechner" sheetId="6" r:id="rId1"/>
  </sheets>
  <definedNames>
    <definedName name="_xlnm.Print_Area" localSheetId="0">Entgeltrechner!$D:$J</definedName>
    <definedName name="_xlnm.Print_Titles" localSheetId="0">Entgeltrechner!$1:$4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6" l="1"/>
  <c r="B22" i="6" s="1"/>
  <c r="H43" i="6"/>
  <c r="B35" i="6"/>
  <c r="B38" i="6" s="1"/>
  <c r="A43" i="6"/>
  <c r="H17" i="6"/>
  <c r="B41" i="6"/>
  <c r="G37" i="6" s="1"/>
  <c r="B19" i="6" l="1"/>
  <c r="G21" i="6"/>
  <c r="G20" i="6"/>
  <c r="G17" i="6"/>
  <c r="G35" i="6"/>
  <c r="G36" i="6"/>
  <c r="G40" i="6"/>
  <c r="F31" i="6"/>
  <c r="G33" i="6"/>
  <c r="F15" i="6"/>
  <c r="B23" i="6"/>
  <c r="G34" i="6"/>
  <c r="G39" i="6"/>
  <c r="G23" i="6"/>
  <c r="G18" i="6"/>
  <c r="G24" i="6"/>
  <c r="G19" i="6"/>
  <c r="F43" i="6" l="1"/>
  <c r="G43" i="6"/>
</calcChain>
</file>

<file path=xl/sharedStrings.xml><?xml version="1.0" encoding="utf-8"?>
<sst xmlns="http://schemas.openxmlformats.org/spreadsheetml/2006/main" count="52" uniqueCount="39">
  <si>
    <t>Arbeitsentgelt</t>
  </si>
  <si>
    <t>Jahresmenge eingeben:</t>
  </si>
  <si>
    <t>kWh/a</t>
  </si>
  <si>
    <t>Jahresmenge</t>
  </si>
  <si>
    <t>Briefmarke Arbeit Ortstransportnetz</t>
  </si>
  <si>
    <t>Ct/kWh</t>
  </si>
  <si>
    <t>Briefmarke Arbeit Ortsverteilnetz</t>
  </si>
  <si>
    <t>Wendepunkt Arbeit</t>
  </si>
  <si>
    <t>kWh</t>
  </si>
  <si>
    <t>Exponent Arbeit</t>
  </si>
  <si>
    <t>Individuelles Netzentgelt Arbeit</t>
  </si>
  <si>
    <t>€/a</t>
  </si>
  <si>
    <t>OTW</t>
  </si>
  <si>
    <t>OVW</t>
  </si>
  <si>
    <t>Halbwert</t>
  </si>
  <si>
    <t>E</t>
  </si>
  <si>
    <t>Arbeitspreis</t>
  </si>
  <si>
    <t>ct/kWh</t>
  </si>
  <si>
    <t>gerundet mit 4</t>
  </si>
  <si>
    <t>OTP</t>
  </si>
  <si>
    <t>OVP</t>
  </si>
  <si>
    <t>HW</t>
  </si>
  <si>
    <t>Leistungspreis</t>
  </si>
  <si>
    <t>€/kW</t>
  </si>
  <si>
    <t>Leistungsentgelt</t>
  </si>
  <si>
    <t>Prüfung</t>
  </si>
  <si>
    <t>RLM?</t>
  </si>
  <si>
    <t>Vorhalteleistung eingeben:</t>
  </si>
  <si>
    <t>kW</t>
  </si>
  <si>
    <t>Vorhalteleistung:</t>
  </si>
  <si>
    <t>Briefmarke Leistung Ortstransportnetz</t>
  </si>
  <si>
    <t>Briefmarke Leistung Ortsverteilnetz</t>
  </si>
  <si>
    <t>Wendepunkt Leistung</t>
  </si>
  <si>
    <t>Exponent Leistung</t>
  </si>
  <si>
    <t>Individuelles Netzentgelt Leistung</t>
  </si>
  <si>
    <t>Entgeltrechner für Kunden mit Leistungsmessung und unterbrechbare Kunden
(&gt;1,5 Mio. kWh oder &gt; 500 kW)
inkl. Kapazitätszusagen (vorgelagerter Netzbetreiber ist die terranets bw GmbH)</t>
  </si>
  <si>
    <t>Energieversorgung Filstal GmbH &amp; Co. KG · Großeislinger Straße 30 · 73033 Göppingen
Telefon: 07161 - 6101-0 · Internet: www.evf.de</t>
  </si>
  <si>
    <t>Entgeltrechner 2025</t>
  </si>
  <si>
    <t xml:space="preserve"> Stand: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</si>
</sst>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00"/>
    <numFmt numFmtId="165" formatCode="#,##0.00000"/>
    <numFmt numFmtId="166" formatCode="#,##0.00000000"/>
    <numFmt numFmtId="167" formatCode="#,##0.000000000"/>
  </numFmts>
  <fonts count="8" x14ac:knownFonts="1">
    <font>
      <sz val="11"/>
      <color theme="1"/>
      <name val="Open Sans"/>
      <family val="2"/>
    </font>
    <font>
      <sz val="9"/>
      <color theme="1"/>
      <name val="Open Sans"/>
      <family val="2"/>
    </font>
    <font>
      <sz val="9"/>
      <name val="Open Sans"/>
      <family val="2"/>
    </font>
    <font>
      <sz val="8"/>
      <name val="Open Sans"/>
      <family val="2"/>
    </font>
    <font>
      <b/>
      <sz val="9"/>
      <name val="Open Sans"/>
      <family val="2"/>
    </font>
    <font>
      <b/>
      <u/>
      <sz val="8"/>
      <name val="Open Sans"/>
      <family val="2"/>
    </font>
    <font>
      <sz val="7"/>
      <name val="Open Sans"/>
      <family val="2"/>
    </font>
    <font>
      <sz val="16"/>
      <name val="Miriam Libre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1" xfId="1" applyFont="1" applyBorder="1" applyAlignment="1" applyProtection="1">
      <alignment vertical="center"/>
      <protection hidden="1"/>
    </xf>
    <xf numFmtId="4" fontId="3" fillId="0" borderId="1" xfId="1" applyNumberFormat="1" applyFont="1" applyBorder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vertical="center"/>
      <protection hidden="1"/>
    </xf>
    <xf numFmtId="4" fontId="3" fillId="0" borderId="0" xfId="1" applyNumberFormat="1" applyFont="1" applyAlignment="1" applyProtection="1">
      <alignment vertical="center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4" fontId="2" fillId="2" borderId="1" xfId="1" applyNumberFormat="1" applyFont="1" applyFill="1" applyBorder="1" applyAlignment="1" applyProtection="1">
      <alignment horizontal="right" vertical="center" indent="1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4" fontId="2" fillId="4" borderId="0" xfId="1" applyNumberFormat="1" applyFont="1" applyFill="1" applyAlignment="1" applyProtection="1">
      <alignment vertical="center"/>
      <protection hidden="1"/>
    </xf>
    <xf numFmtId="4" fontId="2" fillId="4" borderId="0" xfId="1" applyNumberFormat="1" applyFont="1" applyFill="1" applyAlignment="1" applyProtection="1">
      <alignment horizontal="right" vertical="center" indent="1"/>
      <protection hidden="1"/>
    </xf>
    <xf numFmtId="0" fontId="2" fillId="4" borderId="0" xfId="1" applyFont="1" applyFill="1" applyAlignment="1" applyProtection="1">
      <alignment vertical="center"/>
      <protection hidden="1"/>
    </xf>
    <xf numFmtId="167" fontId="3" fillId="0" borderId="0" xfId="1" applyNumberFormat="1" applyFont="1" applyAlignment="1" applyProtection="1">
      <alignment vertical="center"/>
      <protection hidden="1"/>
    </xf>
    <xf numFmtId="3" fontId="3" fillId="0" borderId="0" xfId="1" applyNumberFormat="1" applyFont="1" applyAlignment="1" applyProtection="1">
      <alignment vertical="center"/>
      <protection hidden="1"/>
    </xf>
    <xf numFmtId="166" fontId="3" fillId="0" borderId="0" xfId="1" applyNumberFormat="1" applyFont="1" applyAlignment="1" applyProtection="1">
      <alignment vertical="center"/>
      <protection hidden="1"/>
    </xf>
    <xf numFmtId="3" fontId="2" fillId="4" borderId="0" xfId="1" applyNumberFormat="1" applyFont="1" applyFill="1" applyAlignment="1" applyProtection="1">
      <alignment horizontal="right" vertical="center" indent="1"/>
      <protection hidden="1"/>
    </xf>
    <xf numFmtId="164" fontId="2" fillId="4" borderId="0" xfId="1" applyNumberFormat="1" applyFont="1" applyFill="1" applyAlignment="1" applyProtection="1">
      <alignment horizontal="right" vertical="center" indent="1"/>
      <protection hidden="1"/>
    </xf>
    <xf numFmtId="0" fontId="5" fillId="0" borderId="0" xfId="1" applyFont="1" applyAlignment="1" applyProtection="1">
      <alignment vertical="center"/>
      <protection hidden="1"/>
    </xf>
    <xf numFmtId="164" fontId="3" fillId="0" borderId="0" xfId="1" applyNumberFormat="1" applyFont="1" applyAlignment="1" applyProtection="1">
      <alignment vertical="center"/>
      <protection hidden="1"/>
    </xf>
    <xf numFmtId="4" fontId="2" fillId="4" borderId="3" xfId="1" applyNumberFormat="1" applyFont="1" applyFill="1" applyBorder="1" applyAlignment="1" applyProtection="1">
      <alignment vertical="center"/>
      <protection hidden="1"/>
    </xf>
    <xf numFmtId="4" fontId="2" fillId="4" borderId="3" xfId="1" applyNumberFormat="1" applyFont="1" applyFill="1" applyBorder="1" applyAlignment="1" applyProtection="1">
      <alignment horizontal="right" vertical="center" indent="1"/>
      <protection hidden="1"/>
    </xf>
    <xf numFmtId="0" fontId="2" fillId="4" borderId="3" xfId="1" applyFont="1" applyFill="1" applyBorder="1" applyAlignment="1" applyProtection="1">
      <alignment vertical="center"/>
      <protection hidden="1"/>
    </xf>
    <xf numFmtId="4" fontId="4" fillId="2" borderId="1" xfId="1" applyNumberFormat="1" applyFont="1" applyFill="1" applyBorder="1" applyAlignment="1" applyProtection="1">
      <alignment vertical="center"/>
      <protection hidden="1"/>
    </xf>
    <xf numFmtId="165" fontId="2" fillId="4" borderId="0" xfId="1" applyNumberFormat="1" applyFont="1" applyFill="1" applyAlignment="1" applyProtection="1">
      <alignment horizontal="right" vertical="center" indent="1"/>
      <protection hidden="1"/>
    </xf>
    <xf numFmtId="4" fontId="2" fillId="0" borderId="0" xfId="1" applyNumberFormat="1" applyFont="1" applyAlignment="1" applyProtection="1">
      <alignment vertical="center"/>
      <protection hidden="1"/>
    </xf>
    <xf numFmtId="4" fontId="2" fillId="0" borderId="0" xfId="1" applyNumberFormat="1" applyFont="1" applyAlignment="1" applyProtection="1">
      <alignment horizontal="right" vertical="center" indent="1"/>
      <protection hidden="1"/>
    </xf>
    <xf numFmtId="4" fontId="4" fillId="3" borderId="4" xfId="1" applyNumberFormat="1" applyFont="1" applyFill="1" applyBorder="1" applyAlignment="1" applyProtection="1">
      <alignment vertical="center"/>
      <protection hidden="1"/>
    </xf>
    <xf numFmtId="4" fontId="4" fillId="3" borderId="4" xfId="1" applyNumberFormat="1" applyFont="1" applyFill="1" applyBorder="1" applyAlignment="1" applyProtection="1">
      <alignment horizontal="right" vertical="center" indent="1"/>
      <protection hidden="1"/>
    </xf>
    <xf numFmtId="0" fontId="4" fillId="3" borderId="4" xfId="1" applyFont="1" applyFill="1" applyBorder="1" applyAlignment="1" applyProtection="1">
      <alignment vertical="center"/>
      <protection hidden="1"/>
    </xf>
    <xf numFmtId="3" fontId="2" fillId="5" borderId="2" xfId="1" applyNumberFormat="1" applyFont="1" applyFill="1" applyBorder="1" applyAlignment="1" applyProtection="1">
      <alignment horizontal="right" vertical="center" indent="1"/>
      <protection locked="0"/>
    </xf>
    <xf numFmtId="0" fontId="3" fillId="0" borderId="0" xfId="1" applyFont="1" applyBorder="1" applyAlignment="1" applyProtection="1">
      <alignment vertical="center"/>
      <protection hidden="1"/>
    </xf>
    <xf numFmtId="4" fontId="3" fillId="0" borderId="0" xfId="1" applyNumberFormat="1" applyFont="1" applyBorder="1" applyAlignment="1" applyProtection="1">
      <alignment vertical="center"/>
      <protection hidden="1"/>
    </xf>
    <xf numFmtId="4" fontId="2" fillId="0" borderId="0" xfId="1" applyNumberFormat="1" applyFont="1" applyBorder="1" applyAlignment="1" applyProtection="1">
      <alignment vertical="center"/>
      <protection hidden="1"/>
    </xf>
    <xf numFmtId="4" fontId="2" fillId="0" borderId="0" xfId="1" applyNumberFormat="1" applyFont="1" applyBorder="1" applyAlignment="1" applyProtection="1">
      <alignment horizontal="right" vertical="center" indent="1"/>
      <protection hidden="1"/>
    </xf>
    <xf numFmtId="0" fontId="2" fillId="0" borderId="0" xfId="1" applyFont="1" applyBorder="1" applyAlignment="1" applyProtection="1">
      <alignment vertical="center"/>
      <protection hidden="1"/>
    </xf>
    <xf numFmtId="4" fontId="3" fillId="0" borderId="3" xfId="1" applyNumberFormat="1" applyFont="1" applyBorder="1" applyAlignment="1" applyProtection="1">
      <alignment vertical="center"/>
      <protection hidden="1"/>
    </xf>
    <xf numFmtId="4" fontId="2" fillId="0" borderId="3" xfId="1" applyNumberFormat="1" applyFont="1" applyBorder="1" applyAlignment="1" applyProtection="1">
      <alignment vertical="center"/>
      <protection hidden="1"/>
    </xf>
    <xf numFmtId="4" fontId="2" fillId="0" borderId="3" xfId="1" applyNumberFormat="1" applyFont="1" applyBorder="1" applyAlignment="1" applyProtection="1">
      <alignment horizontal="right" vertical="center" indent="1"/>
      <protection hidden="1"/>
    </xf>
    <xf numFmtId="0" fontId="2" fillId="0" borderId="3" xfId="1" applyFont="1" applyBorder="1" applyAlignment="1" applyProtection="1">
      <alignment vertical="center"/>
      <protection hidden="1"/>
    </xf>
    <xf numFmtId="167" fontId="3" fillId="0" borderId="0" xfId="1" applyNumberFormat="1" applyFont="1" applyBorder="1" applyAlignment="1" applyProtection="1">
      <alignment vertical="center"/>
      <protection hidden="1"/>
    </xf>
    <xf numFmtId="3" fontId="3" fillId="0" borderId="0" xfId="1" applyNumberFormat="1" applyFont="1" applyBorder="1" applyAlignment="1" applyProtection="1">
      <alignment vertical="center"/>
      <protection hidden="1"/>
    </xf>
    <xf numFmtId="166" fontId="3" fillId="0" borderId="0" xfId="1" applyNumberFormat="1" applyFont="1" applyBorder="1" applyAlignment="1" applyProtection="1">
      <alignment vertical="center"/>
      <protection hidden="1"/>
    </xf>
    <xf numFmtId="164" fontId="3" fillId="0" borderId="0" xfId="1" applyNumberFormat="1" applyFont="1" applyBorder="1" applyAlignment="1" applyProtection="1">
      <alignment vertical="center"/>
      <protection hidden="1"/>
    </xf>
    <xf numFmtId="4" fontId="6" fillId="0" borderId="3" xfId="1" applyNumberFormat="1" applyFont="1" applyBorder="1" applyAlignment="1" applyProtection="1">
      <alignment vertical="center"/>
      <protection hidden="1"/>
    </xf>
    <xf numFmtId="0" fontId="7" fillId="0" borderId="0" xfId="1" applyNumberFormat="1" applyFont="1" applyBorder="1" applyAlignment="1" applyProtection="1">
      <alignment horizontal="left" readingOrder="1"/>
      <protection hidden="1"/>
    </xf>
    <xf numFmtId="4" fontId="6" fillId="0" borderId="0" xfId="1" applyNumberFormat="1" applyFont="1" applyBorder="1" applyAlignment="1" applyProtection="1">
      <alignment wrapText="1"/>
      <protection hidden="1"/>
    </xf>
    <xf numFmtId="166" fontId="2" fillId="4" borderId="0" xfId="1" applyNumberFormat="1" applyFont="1" applyFill="1" applyAlignment="1" applyProtection="1">
      <alignment horizontal="right" vertical="center" indent="1"/>
      <protection hidden="1"/>
    </xf>
    <xf numFmtId="4" fontId="6" fillId="0" borderId="0" xfId="1" applyNumberFormat="1" applyFont="1" applyBorder="1" applyAlignment="1" applyProtection="1">
      <alignment horizontal="left" wrapText="1"/>
      <protection hidden="1"/>
    </xf>
    <xf numFmtId="4" fontId="2" fillId="4" borderId="0" xfId="1" applyNumberFormat="1" applyFont="1" applyFill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4" fontId="6" fillId="0" borderId="0" xfId="1" applyNumberFormat="1" applyFont="1" applyBorder="1" applyAlignment="1" applyProtection="1">
      <alignment horizontal="left"/>
      <protection hidden="1"/>
    </xf>
  </cellXfs>
  <cellStyles count="2">
    <cellStyle name="Standard" xfId="0" builtinId="0"/>
    <cellStyle name="Standard 2" xfId="1" xr:uid="{00000000-0005-0000-0000-000001000000}"/>
  </cellStyles>
  <dxfs count="2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ellenformat 1" pivot="0" count="2" xr9:uid="{00000000-0011-0000-FFFF-FFFF00000000}">
      <tableStyleElement type="totalRow" dxfId="1"/>
      <tableStyleElement type="secondRowStripe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596348</xdr:colOff>
      <xdr:row>0</xdr:row>
      <xdr:rowOff>0</xdr:rowOff>
    </xdr:from>
    <xdr:to>
      <xdr:col>9</xdr:col>
      <xdr:colOff>663300</xdr:colOff>
      <xdr:row>1</xdr:row>
      <xdr:rowOff>206596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516218" y="0"/>
          <a:ext cx="755650" cy="330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VF">
  <a:themeElements>
    <a:clrScheme name="EVF">
      <a:dk1>
        <a:srgbClr val="6E6E6E"/>
      </a:dk1>
      <a:lt1>
        <a:sysClr val="window" lastClr="FFFFFF"/>
      </a:lt1>
      <a:dk2>
        <a:srgbClr val="595374"/>
      </a:dk2>
      <a:lt2>
        <a:srgbClr val="DAECFB"/>
      </a:lt2>
      <a:accent1>
        <a:srgbClr val="8C83BA"/>
      </a:accent1>
      <a:accent2>
        <a:srgbClr val="0075BE"/>
      </a:accent2>
      <a:accent3>
        <a:srgbClr val="19BADE"/>
      </a:accent3>
      <a:accent4>
        <a:srgbClr val="73B958"/>
      </a:accent4>
      <a:accent5>
        <a:srgbClr val="FBBC42"/>
      </a:accent5>
      <a:accent6>
        <a:srgbClr val="F39549"/>
      </a:accent6>
      <a:hlink>
        <a:srgbClr val="8C83BA"/>
      </a:hlink>
      <a:folHlink>
        <a:srgbClr val="8C83B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/>
  </sheetPr>
  <dimension ref="A1:AA54"/>
  <sheetViews>
    <sheetView showGridLines="0" tabSelected="1" view="pageLayout" topLeftCell="D1" zoomScale="115" zoomScaleNormal="100" zoomScaleSheetLayoutView="85" zoomScalePageLayoutView="115" workbookViewId="0">
      <selection activeCell="G13" sqref="G13"/>
    </sheetView>
  </sheetViews>
  <sheetFormatPr baseColWidth="10" defaultColWidth="0" defaultRowHeight="14.25" outlineLevelCol="1" x14ac:dyDescent="0.3"/>
  <cols>
    <col min="1" max="1" width="10.88671875" style="4" hidden="1" customWidth="1" outlineLevel="1"/>
    <col min="2" max="2" width="9.33203125" style="5" hidden="1" customWidth="1" outlineLevel="1"/>
    <col min="3" max="3" width="8.21875" style="5" hidden="1" customWidth="1" outlineLevel="1"/>
    <col min="4" max="4" width="8.33203125" style="31" customWidth="1" collapsed="1"/>
    <col min="5" max="5" width="8.33203125" style="5" customWidth="1"/>
    <col min="6" max="6" width="25.88671875" style="24" bestFit="1" customWidth="1"/>
    <col min="7" max="7" width="11.5546875" style="25" bestFit="1" customWidth="1"/>
    <col min="8" max="8" width="6.5546875" style="3" customWidth="1"/>
    <col min="9" max="9" width="8.33203125" style="3" customWidth="1"/>
    <col min="10" max="10" width="8.33203125" style="34" customWidth="1"/>
    <col min="11" max="22" width="6.5546875" style="3" hidden="1" customWidth="1"/>
    <col min="23" max="27" width="8.33203125" style="3" hidden="1" customWidth="1"/>
    <col min="28" max="16384" width="0" style="3" hidden="1"/>
  </cols>
  <sheetData>
    <row r="1" spans="1:10" ht="9.75" customHeight="1" x14ac:dyDescent="0.3">
      <c r="A1" s="1"/>
      <c r="B1" s="2"/>
      <c r="C1" s="2"/>
      <c r="E1" s="31"/>
      <c r="F1" s="32"/>
      <c r="G1" s="33"/>
      <c r="H1" s="34"/>
      <c r="I1" s="34"/>
    </row>
    <row r="2" spans="1:10" ht="21.75" x14ac:dyDescent="0.4">
      <c r="A2" s="30"/>
      <c r="B2" s="31"/>
      <c r="C2" s="31"/>
      <c r="D2" s="44" t="s">
        <v>37</v>
      </c>
      <c r="E2" s="31"/>
      <c r="F2" s="32"/>
      <c r="G2" s="33"/>
      <c r="H2" s="34"/>
      <c r="I2" s="34"/>
    </row>
    <row r="3" spans="1:10" ht="3.95" customHeight="1" x14ac:dyDescent="0.3">
      <c r="A3" s="30"/>
      <c r="B3" s="31"/>
      <c r="C3" s="31"/>
      <c r="E3" s="31"/>
      <c r="F3" s="32"/>
      <c r="G3" s="33"/>
      <c r="H3" s="34"/>
      <c r="I3" s="34"/>
    </row>
    <row r="4" spans="1:10" ht="15.75" customHeight="1" x14ac:dyDescent="0.3">
      <c r="A4" s="30"/>
      <c r="B4" s="31"/>
      <c r="C4" s="31"/>
      <c r="D4" s="43" t="s">
        <v>38</v>
      </c>
      <c r="E4" s="35"/>
      <c r="F4" s="36"/>
      <c r="G4" s="37"/>
      <c r="H4" s="38"/>
      <c r="I4" s="38"/>
      <c r="J4" s="38"/>
    </row>
    <row r="5" spans="1:10" x14ac:dyDescent="0.3">
      <c r="A5" s="30"/>
      <c r="B5" s="31"/>
      <c r="C5" s="31"/>
      <c r="E5" s="31"/>
      <c r="F5" s="32"/>
      <c r="G5" s="33"/>
      <c r="H5" s="34"/>
      <c r="I5" s="34"/>
    </row>
    <row r="6" spans="1:10" x14ac:dyDescent="0.3">
      <c r="A6" s="30"/>
      <c r="B6" s="31"/>
      <c r="C6" s="31"/>
      <c r="E6" s="31"/>
      <c r="F6" s="32"/>
      <c r="G6" s="33"/>
      <c r="H6" s="34"/>
      <c r="I6" s="34"/>
    </row>
    <row r="7" spans="1:10" ht="14.25" customHeight="1" x14ac:dyDescent="0.3">
      <c r="E7" s="49" t="s">
        <v>35</v>
      </c>
      <c r="F7" s="49"/>
      <c r="G7" s="49"/>
      <c r="H7" s="49"/>
      <c r="I7" s="49"/>
    </row>
    <row r="8" spans="1:10" x14ac:dyDescent="0.3">
      <c r="E8" s="49"/>
      <c r="F8" s="49"/>
      <c r="G8" s="49"/>
      <c r="H8" s="49"/>
      <c r="I8" s="49"/>
    </row>
    <row r="9" spans="1:10" x14ac:dyDescent="0.3">
      <c r="A9" s="3"/>
      <c r="E9" s="49"/>
      <c r="F9" s="49"/>
      <c r="G9" s="49"/>
      <c r="H9" s="49"/>
      <c r="I9" s="49"/>
    </row>
    <row r="11" spans="1:10" x14ac:dyDescent="0.3">
      <c r="F11" s="6" t="s">
        <v>0</v>
      </c>
      <c r="G11" s="7"/>
      <c r="H11" s="8"/>
    </row>
    <row r="12" spans="1:10" x14ac:dyDescent="0.3">
      <c r="F12" s="9"/>
      <c r="G12" s="10"/>
      <c r="H12" s="11"/>
    </row>
    <row r="13" spans="1:10" x14ac:dyDescent="0.3">
      <c r="A13" s="4" t="s">
        <v>12</v>
      </c>
      <c r="B13" s="12">
        <v>0.3201</v>
      </c>
      <c r="C13" s="12"/>
      <c r="D13" s="39"/>
      <c r="E13" s="12"/>
      <c r="F13" s="9" t="s">
        <v>1</v>
      </c>
      <c r="G13" s="29">
        <v>4000000</v>
      </c>
      <c r="H13" s="11" t="s">
        <v>2</v>
      </c>
    </row>
    <row r="14" spans="1:10" x14ac:dyDescent="0.3">
      <c r="A14" s="4" t="s">
        <v>13</v>
      </c>
      <c r="B14" s="12">
        <v>0.50470000000000004</v>
      </c>
      <c r="F14" s="9"/>
      <c r="G14" s="10"/>
      <c r="H14" s="11"/>
    </row>
    <row r="15" spans="1:10" x14ac:dyDescent="0.3">
      <c r="A15" s="4" t="s">
        <v>14</v>
      </c>
      <c r="B15" s="13">
        <v>4700000</v>
      </c>
      <c r="C15" s="12"/>
      <c r="D15" s="39"/>
      <c r="E15" s="12"/>
      <c r="F15" s="48" t="str">
        <f>+IF(B41=TRUE,"","Jahresmenge zu gering")</f>
        <v/>
      </c>
      <c r="G15" s="48"/>
      <c r="H15" s="48"/>
    </row>
    <row r="16" spans="1:10" x14ac:dyDescent="0.3">
      <c r="A16" s="4" t="s">
        <v>15</v>
      </c>
      <c r="B16" s="14">
        <v>0.80656015000000003</v>
      </c>
      <c r="C16" s="13"/>
      <c r="D16" s="40"/>
      <c r="E16" s="13"/>
      <c r="F16" s="9"/>
      <c r="G16" s="10"/>
      <c r="H16" s="11"/>
    </row>
    <row r="17" spans="1:8" x14ac:dyDescent="0.3">
      <c r="C17" s="14"/>
      <c r="D17" s="41"/>
      <c r="E17" s="14"/>
      <c r="F17" s="9" t="s">
        <v>3</v>
      </c>
      <c r="G17" s="15">
        <f>IF($B$41=TRUE,G13,"")</f>
        <v>4000000</v>
      </c>
      <c r="H17" s="11" t="str">
        <f>IF(G13&lt;1500001,"","kWh")</f>
        <v>kWh</v>
      </c>
    </row>
    <row r="18" spans="1:8" x14ac:dyDescent="0.3">
      <c r="A18" s="17" t="s">
        <v>16</v>
      </c>
      <c r="F18" s="9" t="s">
        <v>4</v>
      </c>
      <c r="G18" s="16">
        <f>IF($B$41=TRUE,ROUND(B13,4),"")</f>
        <v>0.3201</v>
      </c>
      <c r="H18" s="11" t="s">
        <v>5</v>
      </c>
    </row>
    <row r="19" spans="1:8" x14ac:dyDescent="0.3">
      <c r="A19" s="4" t="s">
        <v>17</v>
      </c>
      <c r="B19" s="18">
        <f>ROUND(B13+B14*(1/(1+(G13/B15)^B16)),4)</f>
        <v>0.58879999999999999</v>
      </c>
      <c r="F19" s="9" t="s">
        <v>6</v>
      </c>
      <c r="G19" s="16">
        <f>IF($B$41=TRUE,ROUND(B14,4),"")</f>
        <v>0.50470000000000004</v>
      </c>
      <c r="H19" s="11" t="s">
        <v>5</v>
      </c>
    </row>
    <row r="20" spans="1:8" x14ac:dyDescent="0.3">
      <c r="A20" s="4" t="s">
        <v>18</v>
      </c>
      <c r="B20" s="12">
        <f>B13+B14*(1/(1+(G13/B15)^B16))</f>
        <v>0.58883879269891581</v>
      </c>
      <c r="C20" s="18"/>
      <c r="D20" s="42"/>
      <c r="E20" s="18"/>
      <c r="F20" s="9" t="s">
        <v>7</v>
      </c>
      <c r="G20" s="15">
        <f>IF($B$41=TRUE,ROUND(B15,0),"")</f>
        <v>4700000</v>
      </c>
      <c r="H20" s="11" t="s">
        <v>8</v>
      </c>
    </row>
    <row r="21" spans="1:8" x14ac:dyDescent="0.3">
      <c r="C21" s="12"/>
      <c r="D21" s="39"/>
      <c r="E21" s="12"/>
      <c r="F21" s="9" t="s">
        <v>9</v>
      </c>
      <c r="G21" s="46">
        <f>IF($B$41=TRUE,ROUND(B16,8),"")</f>
        <v>0.80656015000000003</v>
      </c>
      <c r="H21" s="11"/>
    </row>
    <row r="22" spans="1:8" x14ac:dyDescent="0.3">
      <c r="A22" s="4" t="s">
        <v>0</v>
      </c>
      <c r="B22" s="5">
        <f>B20*G13/100</f>
        <v>23553.551707956634</v>
      </c>
      <c r="F22" s="9"/>
      <c r="G22" s="10"/>
      <c r="H22" s="11"/>
    </row>
    <row r="23" spans="1:8" x14ac:dyDescent="0.3">
      <c r="B23" s="5">
        <f>IF(H17="","",B22)</f>
        <v>23553.551707956634</v>
      </c>
      <c r="F23" s="9" t="s">
        <v>10</v>
      </c>
      <c r="G23" s="16">
        <f>IF(G13="","",IF($B$41=TRUE,ROUND(B20,5),""))</f>
        <v>0.58884000000000003</v>
      </c>
      <c r="H23" s="11" t="s">
        <v>5</v>
      </c>
    </row>
    <row r="24" spans="1:8" x14ac:dyDescent="0.3">
      <c r="F24" s="19" t="s">
        <v>0</v>
      </c>
      <c r="G24" s="20">
        <f>IF(G13="","",IF($B$41=TRUE,ROUND(B22,5),""))</f>
        <v>23553.55171</v>
      </c>
      <c r="H24" s="21" t="s">
        <v>11</v>
      </c>
    </row>
    <row r="27" spans="1:8" x14ac:dyDescent="0.3">
      <c r="A27" s="3"/>
      <c r="B27" s="3"/>
      <c r="F27" s="22" t="s">
        <v>24</v>
      </c>
      <c r="G27" s="7"/>
      <c r="H27" s="8"/>
    </row>
    <row r="28" spans="1:8" x14ac:dyDescent="0.3">
      <c r="A28" s="4" t="s">
        <v>19</v>
      </c>
      <c r="B28" s="5">
        <v>5.6</v>
      </c>
      <c r="C28" s="3"/>
      <c r="D28" s="34"/>
      <c r="E28" s="3"/>
      <c r="F28" s="9"/>
      <c r="G28" s="10"/>
      <c r="H28" s="11"/>
    </row>
    <row r="29" spans="1:8" x14ac:dyDescent="0.3">
      <c r="A29" s="4" t="s">
        <v>20</v>
      </c>
      <c r="B29" s="5">
        <v>8.2100000000000009</v>
      </c>
      <c r="F29" s="9" t="s">
        <v>27</v>
      </c>
      <c r="G29" s="29">
        <v>2000</v>
      </c>
      <c r="H29" s="11" t="s">
        <v>28</v>
      </c>
    </row>
    <row r="30" spans="1:8" x14ac:dyDescent="0.3">
      <c r="F30" s="9"/>
      <c r="G30" s="10"/>
      <c r="H30" s="11"/>
    </row>
    <row r="31" spans="1:8" x14ac:dyDescent="0.3">
      <c r="A31" s="4" t="s">
        <v>21</v>
      </c>
      <c r="B31" s="13">
        <v>2600</v>
      </c>
      <c r="F31" s="48" t="str">
        <f>+IF(B41=TRUE,"","Vorhalteleistung zu gering")</f>
        <v/>
      </c>
      <c r="G31" s="48"/>
      <c r="H31" s="48"/>
    </row>
    <row r="32" spans="1:8" x14ac:dyDescent="0.3">
      <c r="A32" s="4" t="s">
        <v>15</v>
      </c>
      <c r="B32" s="14">
        <v>1.0327915299999999</v>
      </c>
      <c r="C32" s="13"/>
      <c r="D32" s="40"/>
      <c r="E32" s="13"/>
      <c r="F32" s="9"/>
      <c r="G32" s="10"/>
      <c r="H32" s="11"/>
    </row>
    <row r="33" spans="1:8" x14ac:dyDescent="0.3">
      <c r="C33" s="14"/>
      <c r="D33" s="41"/>
      <c r="E33" s="14"/>
      <c r="F33" s="9" t="s">
        <v>29</v>
      </c>
      <c r="G33" s="15">
        <f>IF(B41=TRUE,IF(G29=0,"",G29),"")</f>
        <v>2000</v>
      </c>
      <c r="H33" s="11" t="s">
        <v>28</v>
      </c>
    </row>
    <row r="34" spans="1:8" x14ac:dyDescent="0.3">
      <c r="A34" s="4" t="s">
        <v>22</v>
      </c>
      <c r="F34" s="9" t="s">
        <v>30</v>
      </c>
      <c r="G34" s="10">
        <f>IF($B$41=TRUE,ROUND(B28,2),"")</f>
        <v>5.6</v>
      </c>
      <c r="H34" s="11" t="s">
        <v>23</v>
      </c>
    </row>
    <row r="35" spans="1:8" x14ac:dyDescent="0.3">
      <c r="A35" s="4" t="s">
        <v>23</v>
      </c>
      <c r="B35" s="12">
        <f>IF(G29="","",B28+B29/(1+((G29/B31)^B32)))</f>
        <v>10.257782842533539</v>
      </c>
      <c r="F35" s="9" t="s">
        <v>31</v>
      </c>
      <c r="G35" s="10">
        <f>IF($B$41=TRUE,ROUND(B29,2),"")</f>
        <v>8.2100000000000009</v>
      </c>
      <c r="H35" s="11" t="s">
        <v>23</v>
      </c>
    </row>
    <row r="36" spans="1:8" x14ac:dyDescent="0.3">
      <c r="C36" s="12"/>
      <c r="D36" s="39"/>
      <c r="E36" s="12"/>
      <c r="F36" s="9" t="s">
        <v>32</v>
      </c>
      <c r="G36" s="15">
        <f>IF($B$41=TRUE,ROUND(B31,0),"")</f>
        <v>2600</v>
      </c>
      <c r="H36" s="11" t="s">
        <v>28</v>
      </c>
    </row>
    <row r="37" spans="1:8" x14ac:dyDescent="0.3">
      <c r="F37" s="9" t="s">
        <v>33</v>
      </c>
      <c r="G37" s="46">
        <f>IF($B$41=TRUE,ROUND(B32,8),"")</f>
        <v>1.0327915299999999</v>
      </c>
      <c r="H37" s="11"/>
    </row>
    <row r="38" spans="1:8" x14ac:dyDescent="0.3">
      <c r="A38" s="4" t="s">
        <v>24</v>
      </c>
      <c r="B38" s="5">
        <f>ROUND($G$29*B35,2)</f>
        <v>20515.57</v>
      </c>
      <c r="F38" s="9"/>
      <c r="G38" s="10"/>
      <c r="H38" s="11"/>
    </row>
    <row r="39" spans="1:8" x14ac:dyDescent="0.3">
      <c r="F39" s="9" t="s">
        <v>34</v>
      </c>
      <c r="G39" s="23">
        <f>IF(G29="","",IF($B$41=TRUE,ROUND(B35,5),""))</f>
        <v>10.25778</v>
      </c>
      <c r="H39" s="11" t="s">
        <v>23</v>
      </c>
    </row>
    <row r="40" spans="1:8" x14ac:dyDescent="0.3">
      <c r="A40" s="4" t="s">
        <v>25</v>
      </c>
      <c r="F40" s="19" t="s">
        <v>24</v>
      </c>
      <c r="G40" s="20">
        <f>IF(G29="","",IF($B$41=TRUE,ROUND(B38,2),""))</f>
        <v>20515.57</v>
      </c>
      <c r="H40" s="21" t="s">
        <v>11</v>
      </c>
    </row>
    <row r="41" spans="1:8" x14ac:dyDescent="0.3">
      <c r="A41" s="4" t="s">
        <v>26</v>
      </c>
      <c r="B41" s="5" t="b">
        <f>+OR(H19&gt;=1500000,H39&gt;=500)</f>
        <v>1</v>
      </c>
    </row>
    <row r="43" spans="1:8" x14ac:dyDescent="0.3">
      <c r="A43" s="4">
        <f>+(0.5018/(1+((4/3.1)^0.978780338))+0.1803)</f>
        <v>0.40006362411284652</v>
      </c>
      <c r="F43" s="26" t="str">
        <f>IF(G21="","",IF(G40="","Summe der Entgelte","Summe der Entgelte"))</f>
        <v>Summe der Entgelte</v>
      </c>
      <c r="G43" s="27">
        <f>IF(G24="","",IF(G40="",G24,G24+G40))</f>
        <v>44069.121709999999</v>
      </c>
      <c r="H43" s="28" t="str">
        <f>IF(F21="","",IF(F40="","€/a","€/a"))</f>
        <v>€/a</v>
      </c>
    </row>
    <row r="51" spans="4:10" x14ac:dyDescent="0.15">
      <c r="D51" s="47"/>
      <c r="E51" s="50"/>
      <c r="F51" s="50"/>
      <c r="G51" s="50"/>
      <c r="H51" s="50"/>
      <c r="I51" s="50"/>
      <c r="J51" s="50"/>
    </row>
    <row r="52" spans="4:10" ht="6.75" customHeight="1" x14ac:dyDescent="0.15">
      <c r="D52" s="45"/>
      <c r="E52" s="45"/>
      <c r="F52" s="45"/>
      <c r="G52" s="45"/>
      <c r="H52" s="45"/>
      <c r="I52" s="45"/>
      <c r="J52" s="45"/>
    </row>
    <row r="53" spans="4:10" x14ac:dyDescent="0.3">
      <c r="D53" s="47" t="s">
        <v>36</v>
      </c>
      <c r="E53" s="47"/>
      <c r="F53" s="47"/>
      <c r="G53" s="47"/>
      <c r="H53" s="47"/>
      <c r="I53" s="47"/>
      <c r="J53" s="47"/>
    </row>
    <row r="54" spans="4:10" x14ac:dyDescent="0.3">
      <c r="D54" s="47"/>
      <c r="E54" s="47"/>
      <c r="F54" s="47"/>
      <c r="G54" s="47"/>
      <c r="H54" s="47"/>
      <c r="I54" s="47"/>
      <c r="J54" s="47"/>
    </row>
  </sheetData>
  <sheetProtection algorithmName="SHA-512" hashValue="Cv4ud8MRFJ4hrm7itW9wX0vnDIGHv+DDKtu1HBUXFzakJdQJMfIggtuOfZBn8hG7wdiZn5ucKzJ3AqXnLvEIVw==" saltValue="1QqudSO/+vYoPYkXt5fJ7g==" spinCount="100000" sheet="1" selectLockedCells="1"/>
  <protectedRanges>
    <protectedRange sqref="G13" name="Bereich1"/>
    <protectedRange sqref="G29" name="Bereich2"/>
  </protectedRanges>
  <mergeCells count="5">
    <mergeCell ref="D53:J54"/>
    <mergeCell ref="F15:H15"/>
    <mergeCell ref="F31:H31"/>
    <mergeCell ref="E7:I9"/>
    <mergeCell ref="D51:J51"/>
  </mergeCells>
  <pageMargins left="0.74803149606299213" right="0.31496062992125984" top="0.51181102362204722" bottom="0.31496062992125984" header="0.31496062992125984" footer="0.31496062992125984"/>
  <pageSetup paperSize="9" orientation="portrait" verticalDpi="1200" r:id="rId1"/>
  <headerFooter scaleWithDoc="0"/>
  <ignoredErrors>
    <ignoredError sqref="G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Entgeltrechner</vt:lpstr>
      <vt:lpstr>Entgeltrechner!Druckbereich</vt:lpstr>
      <vt:lpstr>Entgeltrechner!Drucktitel</vt:lpstr>
    </vt:vector>
  </TitlesOfParts>
  <Company>EVF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Vodenicarevic, Samra</dc:creator>
  <cp:lastModifiedBy>Fischer, Florian</cp:lastModifiedBy>
  <cp:lastPrinted>2020-02-04T10:43:26Z</cp:lastPrinted>
  <dcterms:created xsi:type="dcterms:W3CDTF">2019-09-25T08:26:37Z</dcterms:created>
  <dcterms:modified xsi:type="dcterms:W3CDTF">2024-10-15T06:18:38Z</dcterms:modified>
</cp:coreProperties>
</file>