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KMC\Regulierung\Gas\Netzentgeltkalkulationen\Preisblätter\Preisblatt vom 01.01.2018-31.12.2018\Entgeltrechner\"/>
    </mc:Choice>
  </mc:AlternateContent>
  <workbookProtection workbookPassword="B025" lockStructure="1"/>
  <bookViews>
    <workbookView xWindow="360" yWindow="120" windowWidth="15345" windowHeight="11895"/>
  </bookViews>
  <sheets>
    <sheet name="EVF-Entgeltrechner" sheetId="1" r:id="rId1"/>
  </sheets>
  <definedNames>
    <definedName name="_xlnm.Print_Area" localSheetId="0">'EVF-Entgeltrechner'!$A$1:$M$48</definedName>
  </definedNames>
  <calcPr calcId="162913"/>
</workbook>
</file>

<file path=xl/calcChain.xml><?xml version="1.0" encoding="utf-8"?>
<calcChain xmlns="http://schemas.openxmlformats.org/spreadsheetml/2006/main">
  <c r="B39" i="1" l="1"/>
  <c r="B42" i="1" s="1"/>
  <c r="B20" i="1"/>
  <c r="B51" i="1"/>
  <c r="E15" i="1" s="1"/>
  <c r="F42" i="1" l="1"/>
  <c r="F43" i="1"/>
  <c r="F21" i="1"/>
  <c r="F40" i="1"/>
  <c r="F39" i="1"/>
  <c r="F19" i="1"/>
  <c r="F20" i="1"/>
  <c r="F37" i="1"/>
  <c r="F36" i="1"/>
  <c r="F38" i="1"/>
  <c r="F18" i="1"/>
  <c r="F17" i="1"/>
  <c r="E34" i="1"/>
  <c r="L25" i="1" l="1"/>
  <c r="B21" i="1"/>
  <c r="F23" i="1" s="1"/>
  <c r="H17" i="1"/>
  <c r="B23" i="1" l="1"/>
  <c r="F24" i="1" s="1"/>
  <c r="B24" i="1" l="1"/>
  <c r="F46" i="1"/>
  <c r="H46" i="1" l="1"/>
  <c r="E46" i="1"/>
</calcChain>
</file>

<file path=xl/sharedStrings.xml><?xml version="1.0" encoding="utf-8"?>
<sst xmlns="http://schemas.openxmlformats.org/spreadsheetml/2006/main" count="53" uniqueCount="40">
  <si>
    <t>Jahresmenge</t>
  </si>
  <si>
    <t>Halbwert</t>
  </si>
  <si>
    <t>E</t>
  </si>
  <si>
    <t>ct/kWh</t>
  </si>
  <si>
    <t>gerundet mit 4</t>
  </si>
  <si>
    <t>Arbeitspreis</t>
  </si>
  <si>
    <t>Briefmarke Arbeit Ortstransportnetz</t>
  </si>
  <si>
    <t>Briefmarke Arbeit Ortsverteilnetz</t>
  </si>
  <si>
    <t>Wendepunkt Arbeit</t>
  </si>
  <si>
    <t>Exponent Arbeit</t>
  </si>
  <si>
    <t>HW</t>
  </si>
  <si>
    <t>Leistungspreis</t>
  </si>
  <si>
    <t>€/kW</t>
  </si>
  <si>
    <t>Vorhalteleistung eingeben:</t>
  </si>
  <si>
    <t>Jahresmenge eingeben:</t>
  </si>
  <si>
    <t>Vorhalteleistung:</t>
  </si>
  <si>
    <t>Briefmarke Leistung Ortstransportnetz</t>
  </si>
  <si>
    <t>Briefmarke Leistung Ortsverteilnetz</t>
  </si>
  <si>
    <t>OVP</t>
  </si>
  <si>
    <t>OTP</t>
  </si>
  <si>
    <t>OTW</t>
  </si>
  <si>
    <t>OVW</t>
  </si>
  <si>
    <t>Wendepunkt Leistung</t>
  </si>
  <si>
    <t>Exponent Leistung</t>
  </si>
  <si>
    <t>kWh</t>
  </si>
  <si>
    <t>kW</t>
  </si>
  <si>
    <t>Energieversorgung Filstal GmbH &amp; Co. KG</t>
  </si>
  <si>
    <t>© Energieversorgung Filstal GmbH &amp; Co. KG</t>
  </si>
  <si>
    <t>Arbeitsentgelt</t>
  </si>
  <si>
    <t>Individuelles Netzentgelt Arbeit</t>
  </si>
  <si>
    <t>Leistungsentgelt</t>
  </si>
  <si>
    <t>Individuelles Netzentgelt Leistung</t>
  </si>
  <si>
    <t>(&gt;1,5 Mio. kWh oder &gt; 500 kW)</t>
  </si>
  <si>
    <t>Entgeltrechner für Kunden mit Leistungsmessung und unterbrechbare Kunden</t>
  </si>
  <si>
    <t>Ct/kWh</t>
  </si>
  <si>
    <t>€/a</t>
  </si>
  <si>
    <t>kWh/a</t>
  </si>
  <si>
    <t>inkl. Kapazitätszusagen (vorgelagerter Netzbetreiber ist die terranets bw GmbH)</t>
  </si>
  <si>
    <t>Prüfung</t>
  </si>
  <si>
    <t>RLM?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</si>
</sst>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00000000"/>
    <numFmt numFmtId="165" formatCode="0.0000000000000"/>
    <numFmt numFmtId="166" formatCode="#,##0.0000"/>
    <numFmt numFmtId="167" formatCode="0.0000"/>
    <numFmt numFmtId="168" formatCode="_-* #,##0.00\ [$€-1]_-;\-* #,##0.00\ [$€-1]_-;_-* &quot;-&quot;??\ [$€-1]_-"/>
    <numFmt numFmtId="169" formatCode="0.00000000"/>
    <numFmt numFmtId="170" formatCode="0.00000"/>
  </numFmts>
  <fonts count="14" x14ac:knownFonts="1">
    <font>
      <sz val="12"/>
      <name val="Times New Roman"/>
    </font>
    <font>
      <sz val="8"/>
      <name val="Times New Roman"/>
      <family val="1"/>
    </font>
    <font>
      <sz val="10"/>
      <color indexed="8"/>
      <name val="MS Sans Serif"/>
      <family val="2"/>
    </font>
    <font>
      <sz val="10"/>
      <name val="Arial"/>
      <family val="2"/>
    </font>
    <font>
      <b/>
      <sz val="26"/>
      <name val="Helvetica LT Std"/>
      <family val="2"/>
    </font>
    <font>
      <sz val="12"/>
      <name val="Helvetica LT Std"/>
      <family val="2"/>
    </font>
    <font>
      <b/>
      <sz val="16"/>
      <name val="Helvetica LT Std"/>
      <family val="2"/>
    </font>
    <font>
      <sz val="12"/>
      <color indexed="9"/>
      <name val="Helvetica LT Std"/>
      <family val="2"/>
    </font>
    <font>
      <sz val="11"/>
      <name val="Helvetica LT Std"/>
      <family val="2"/>
    </font>
    <font>
      <b/>
      <sz val="11"/>
      <name val="Helvetica LT Std"/>
      <family val="2"/>
    </font>
    <font>
      <sz val="10"/>
      <name val="Helvetica LT Std"/>
      <family val="2"/>
    </font>
    <font>
      <sz val="12"/>
      <color theme="0"/>
      <name val="Helvetica LT Std"/>
      <family val="2"/>
    </font>
    <font>
      <b/>
      <sz val="26"/>
      <color theme="0"/>
      <name val="Helvetica LT Std"/>
      <family val="2"/>
    </font>
    <font>
      <b/>
      <sz val="12"/>
      <color theme="0"/>
      <name val="Helvetica LT Std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4">
    <xf numFmtId="0" fontId="0" fillId="0" borderId="0"/>
    <xf numFmtId="168" fontId="3" fillId="0" borderId="0" applyFont="0" applyFill="0" applyBorder="0" applyAlignment="0" applyProtection="0"/>
    <xf numFmtId="0" fontId="2" fillId="0" borderId="0"/>
    <xf numFmtId="0" fontId="3" fillId="0" borderId="1" applyNumberFormat="0" applyFont="0" applyFill="0" applyAlignment="0" applyProtection="0"/>
  </cellStyleXfs>
  <cellXfs count="65">
    <xf numFmtId="0" fontId="0" fillId="0" borderId="0" xfId="0"/>
    <xf numFmtId="0" fontId="4" fillId="3" borderId="0" xfId="0" applyFont="1" applyFill="1" applyAlignment="1">
      <alignment vertical="center"/>
    </xf>
    <xf numFmtId="0" fontId="5" fillId="3" borderId="0" xfId="0" applyFont="1" applyFill="1"/>
    <xf numFmtId="0" fontId="4" fillId="3" borderId="0" xfId="0" applyFont="1" applyFill="1" applyAlignment="1">
      <alignment horizontal="center" vertical="center"/>
    </xf>
    <xf numFmtId="0" fontId="5" fillId="2" borderId="3" xfId="0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5" fillId="2" borderId="8" xfId="0" applyFont="1" applyFill="1" applyBorder="1"/>
    <xf numFmtId="0" fontId="5" fillId="2" borderId="9" xfId="0" applyFont="1" applyFill="1" applyBorder="1"/>
    <xf numFmtId="0" fontId="5" fillId="2" borderId="10" xfId="0" applyFont="1" applyFill="1" applyBorder="1"/>
    <xf numFmtId="0" fontId="7" fillId="3" borderId="0" xfId="0" applyFont="1" applyFill="1"/>
    <xf numFmtId="0" fontId="8" fillId="3" borderId="0" xfId="0" applyFont="1" applyFill="1"/>
    <xf numFmtId="0" fontId="8" fillId="3" borderId="0" xfId="0" applyFont="1" applyFill="1" applyAlignment="1">
      <alignment horizontal="center"/>
    </xf>
    <xf numFmtId="0" fontId="8" fillId="2" borderId="0" xfId="0" applyFont="1" applyFill="1" applyBorder="1"/>
    <xf numFmtId="3" fontId="9" fillId="4" borderId="2" xfId="0" applyNumberFormat="1" applyFont="1" applyFill="1" applyBorder="1" applyAlignment="1" applyProtection="1">
      <protection locked="0"/>
    </xf>
    <xf numFmtId="3" fontId="9" fillId="2" borderId="0" xfId="0" applyNumberFormat="1" applyFont="1" applyFill="1" applyBorder="1" applyAlignment="1" applyProtection="1"/>
    <xf numFmtId="3" fontId="8" fillId="2" borderId="0" xfId="0" applyNumberFormat="1" applyFont="1" applyFill="1" applyBorder="1" applyAlignment="1" applyProtection="1"/>
    <xf numFmtId="0" fontId="8" fillId="2" borderId="0" xfId="0" applyFont="1" applyFill="1"/>
    <xf numFmtId="3" fontId="9" fillId="2" borderId="0" xfId="0" applyNumberFormat="1" applyFont="1" applyFill="1" applyBorder="1" applyAlignment="1" applyProtection="1">
      <alignment horizontal="right"/>
    </xf>
    <xf numFmtId="3" fontId="9" fillId="2" borderId="0" xfId="0" applyNumberFormat="1" applyFont="1" applyFill="1" applyBorder="1" applyProtection="1"/>
    <xf numFmtId="0" fontId="8" fillId="2" borderId="0" xfId="0" applyFont="1" applyFill="1" applyBorder="1" applyAlignment="1">
      <alignment wrapText="1"/>
    </xf>
    <xf numFmtId="166" fontId="8" fillId="2" borderId="0" xfId="0" applyNumberFormat="1" applyFont="1" applyFill="1" applyBorder="1" applyAlignment="1">
      <alignment horizontal="right"/>
    </xf>
    <xf numFmtId="166" fontId="8" fillId="2" borderId="0" xfId="0" applyNumberFormat="1" applyFont="1" applyFill="1" applyBorder="1"/>
    <xf numFmtId="3" fontId="8" fillId="2" borderId="0" xfId="0" applyNumberFormat="1" applyFont="1" applyFill="1" applyBorder="1" applyAlignment="1">
      <alignment horizontal="right"/>
    </xf>
    <xf numFmtId="3" fontId="8" fillId="2" borderId="0" xfId="0" applyNumberFormat="1" applyFont="1" applyFill="1" applyBorder="1"/>
    <xf numFmtId="0" fontId="9" fillId="2" borderId="0" xfId="0" applyFont="1" applyFill="1" applyBorder="1"/>
    <xf numFmtId="4" fontId="9" fillId="2" borderId="0" xfId="0" applyNumberFormat="1" applyFont="1" applyFill="1" applyBorder="1" applyAlignment="1">
      <alignment horizontal="right"/>
    </xf>
    <xf numFmtId="2" fontId="8" fillId="2" borderId="0" xfId="0" applyNumberFormat="1" applyFont="1" applyFill="1" applyBorder="1"/>
    <xf numFmtId="167" fontId="8" fillId="2" borderId="0" xfId="0" applyNumberFormat="1" applyFont="1" applyFill="1" applyBorder="1"/>
    <xf numFmtId="4" fontId="9" fillId="2" borderId="0" xfId="0" applyNumberFormat="1" applyFont="1" applyFill="1" applyBorder="1"/>
    <xf numFmtId="0" fontId="9" fillId="2" borderId="0" xfId="0" applyFont="1" applyFill="1" applyBorder="1" applyAlignment="1">
      <alignment horizontal="left"/>
    </xf>
    <xf numFmtId="0" fontId="9" fillId="3" borderId="0" xfId="0" applyFont="1" applyFill="1" applyAlignment="1">
      <alignment horizontal="left"/>
    </xf>
    <xf numFmtId="4" fontId="9" fillId="3" borderId="0" xfId="0" applyNumberFormat="1" applyFont="1" applyFill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vertical="center"/>
    </xf>
    <xf numFmtId="0" fontId="11" fillId="0" borderId="0" xfId="0" applyFont="1" applyFill="1" applyBorder="1"/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Protection="1">
      <protection hidden="1"/>
    </xf>
    <xf numFmtId="164" fontId="11" fillId="0" borderId="0" xfId="0" applyNumberFormat="1" applyFont="1" applyFill="1" applyBorder="1" applyProtection="1">
      <protection hidden="1"/>
    </xf>
    <xf numFmtId="3" fontId="11" fillId="0" borderId="0" xfId="0" applyNumberFormat="1" applyFont="1" applyFill="1" applyBorder="1" applyProtection="1">
      <protection hidden="1"/>
    </xf>
    <xf numFmtId="169" fontId="11" fillId="0" borderId="0" xfId="0" applyNumberFormat="1" applyFont="1" applyFill="1" applyBorder="1" applyProtection="1">
      <protection hidden="1"/>
    </xf>
    <xf numFmtId="165" fontId="11" fillId="0" borderId="0" xfId="0" applyNumberFormat="1" applyFont="1" applyFill="1" applyBorder="1" applyProtection="1">
      <protection hidden="1"/>
    </xf>
    <xf numFmtId="4" fontId="11" fillId="0" borderId="0" xfId="0" applyNumberFormat="1" applyFont="1" applyFill="1" applyBorder="1" applyProtection="1">
      <protection hidden="1"/>
    </xf>
    <xf numFmtId="4" fontId="11" fillId="0" borderId="0" xfId="0" applyNumberFormat="1" applyFont="1" applyFill="1" applyBorder="1" applyAlignment="1" applyProtection="1">
      <alignment horizontal="right"/>
      <protection hidden="1"/>
    </xf>
    <xf numFmtId="4" fontId="11" fillId="0" borderId="0" xfId="2" applyNumberFormat="1" applyFont="1" applyFill="1" applyBorder="1" applyAlignment="1" applyProtection="1"/>
    <xf numFmtId="2" fontId="11" fillId="0" borderId="0" xfId="0" applyNumberFormat="1" applyFont="1" applyFill="1" applyBorder="1"/>
    <xf numFmtId="3" fontId="11" fillId="0" borderId="0" xfId="0" applyNumberFormat="1" applyFont="1" applyFill="1" applyBorder="1"/>
    <xf numFmtId="170" fontId="8" fillId="2" borderId="0" xfId="0" applyNumberFormat="1" applyFont="1" applyFill="1" applyBorder="1" applyAlignment="1">
      <alignment horizontal="right"/>
    </xf>
    <xf numFmtId="170" fontId="8" fillId="2" borderId="0" xfId="0" applyNumberFormat="1" applyFont="1" applyFill="1" applyBorder="1" applyAlignment="1"/>
    <xf numFmtId="0" fontId="12" fillId="3" borderId="0" xfId="0" applyFont="1" applyFill="1" applyAlignment="1">
      <alignment horizontal="center" vertical="center"/>
    </xf>
    <xf numFmtId="0" fontId="11" fillId="3" borderId="0" xfId="0" applyFont="1" applyFill="1" applyProtection="1">
      <protection hidden="1"/>
    </xf>
    <xf numFmtId="0" fontId="13" fillId="3" borderId="0" xfId="0" applyFont="1" applyFill="1"/>
    <xf numFmtId="3" fontId="9" fillId="4" borderId="2" xfId="0" applyNumberFormat="1" applyFont="1" applyFill="1" applyBorder="1" applyProtection="1">
      <protection locked="0"/>
    </xf>
    <xf numFmtId="3" fontId="9" fillId="2" borderId="0" xfId="0" applyNumberFormat="1" applyFont="1" applyFill="1" applyBorder="1"/>
    <xf numFmtId="0" fontId="13" fillId="0" borderId="0" xfId="0" applyFont="1" applyFill="1" applyBorder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13" fillId="0" borderId="0" xfId="0" applyFont="1" applyFill="1" applyBorder="1" applyAlignment="1" applyProtection="1">
      <alignment horizontal="center"/>
      <protection hidden="1"/>
    </xf>
    <xf numFmtId="0" fontId="6" fillId="3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8" fillId="3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/>
    </xf>
  </cellXfs>
  <cellStyles count="4">
    <cellStyle name="Euro" xfId="1"/>
    <cellStyle name="Standard" xfId="0" builtinId="0"/>
    <cellStyle name="Standard_Sigmoid2004a" xfId="2"/>
    <cellStyle name="tabelle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428625</xdr:colOff>
      <xdr:row>0</xdr:row>
      <xdr:rowOff>133350</xdr:rowOff>
    </xdr:from>
    <xdr:to>
      <xdr:col>12</xdr:col>
      <xdr:colOff>733425</xdr:colOff>
      <xdr:row>4</xdr:row>
      <xdr:rowOff>152400</xdr:rowOff>
    </xdr:to>
    <xdr:pic>
      <xdr:nvPicPr>
        <xdr:cNvPr id="1030" name="Picture 1" descr="EVF-Pi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0725" y="133350"/>
          <a:ext cx="14763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3:L51"/>
  <sheetViews>
    <sheetView showGridLines="0" tabSelected="1" zoomScaleNormal="100" workbookViewId="0">
      <selection activeCell="F13" sqref="F13"/>
    </sheetView>
  </sheetViews>
  <sheetFormatPr baseColWidth="10" defaultRowHeight="15.75" x14ac:dyDescent="0.25"/>
  <cols>
    <col min="1" max="1" width="13.25" style="37" bestFit="1" customWidth="1"/>
    <col min="2" max="2" width="15.375" style="37" bestFit="1" customWidth="1"/>
    <col min="3" max="3" width="11" style="37"/>
    <col min="4" max="4" width="4.625" style="2" customWidth="1"/>
    <col min="5" max="5" width="21.75" style="2" bestFit="1" customWidth="1"/>
    <col min="6" max="6" width="15.25" style="2" customWidth="1"/>
    <col min="7" max="7" width="1.625" style="2" customWidth="1"/>
    <col min="8" max="8" width="6" style="2" customWidth="1"/>
    <col min="9" max="9" width="16" style="2" customWidth="1"/>
    <col min="10" max="10" width="4.625" style="2" customWidth="1"/>
    <col min="11" max="11" width="11" style="2"/>
    <col min="12" max="14" width="15.375" style="2" customWidth="1"/>
    <col min="15" max="16384" width="11" style="2"/>
  </cols>
  <sheetData>
    <row r="3" spans="1:12" ht="15.75" customHeight="1" x14ac:dyDescent="0.25">
      <c r="B3" s="38"/>
      <c r="C3" s="59" t="s">
        <v>26</v>
      </c>
      <c r="D3" s="59"/>
      <c r="E3" s="59"/>
      <c r="F3" s="59"/>
      <c r="G3" s="59"/>
      <c r="H3" s="59"/>
      <c r="I3" s="59"/>
      <c r="J3" s="59"/>
      <c r="K3" s="59"/>
      <c r="L3" s="1"/>
    </row>
    <row r="4" spans="1:12" ht="15.75" customHeight="1" x14ac:dyDescent="0.25">
      <c r="B4" s="38"/>
      <c r="C4" s="59"/>
      <c r="D4" s="59"/>
      <c r="E4" s="59"/>
      <c r="F4" s="59"/>
      <c r="G4" s="59"/>
      <c r="H4" s="59"/>
      <c r="I4" s="59"/>
      <c r="J4" s="59"/>
      <c r="K4" s="59"/>
      <c r="L4" s="1"/>
    </row>
    <row r="5" spans="1:12" ht="15.75" customHeight="1" x14ac:dyDescent="0.25">
      <c r="B5" s="38"/>
      <c r="C5" s="59"/>
      <c r="D5" s="59"/>
      <c r="E5" s="59"/>
      <c r="F5" s="59"/>
      <c r="G5" s="59"/>
      <c r="H5" s="59"/>
      <c r="I5" s="59"/>
      <c r="J5" s="59"/>
      <c r="K5" s="59"/>
      <c r="L5" s="1"/>
    </row>
    <row r="6" spans="1:12" ht="15.75" customHeight="1" x14ac:dyDescent="0.25">
      <c r="B6" s="38"/>
      <c r="C6" s="59"/>
      <c r="D6" s="59"/>
      <c r="E6" s="59"/>
      <c r="F6" s="59"/>
      <c r="G6" s="59"/>
      <c r="H6" s="59"/>
      <c r="I6" s="59"/>
      <c r="J6" s="59"/>
      <c r="K6" s="59"/>
      <c r="L6" s="1"/>
    </row>
    <row r="7" spans="1:12" ht="15.75" customHeight="1" x14ac:dyDescent="0.25">
      <c r="B7" s="38"/>
      <c r="C7" s="53"/>
      <c r="D7" s="63" t="s">
        <v>33</v>
      </c>
      <c r="E7" s="63"/>
      <c r="F7" s="63"/>
      <c r="G7" s="63"/>
      <c r="H7" s="63"/>
      <c r="I7" s="63"/>
      <c r="J7" s="63"/>
      <c r="K7" s="3"/>
      <c r="L7" s="1"/>
    </row>
    <row r="8" spans="1:12" ht="15.75" customHeight="1" x14ac:dyDescent="0.25">
      <c r="A8" s="39"/>
      <c r="B8" s="40"/>
      <c r="C8" s="53"/>
      <c r="D8" s="63" t="s">
        <v>32</v>
      </c>
      <c r="E8" s="63"/>
      <c r="F8" s="63"/>
      <c r="G8" s="63"/>
      <c r="H8" s="63"/>
      <c r="I8" s="63"/>
      <c r="J8" s="63"/>
      <c r="K8" s="3"/>
      <c r="L8" s="1"/>
    </row>
    <row r="9" spans="1:12" x14ac:dyDescent="0.25">
      <c r="A9" s="39"/>
      <c r="B9" s="39"/>
      <c r="D9" s="13"/>
      <c r="E9" s="13"/>
      <c r="F9" s="14" t="s">
        <v>37</v>
      </c>
      <c r="G9" s="13"/>
      <c r="H9" s="13"/>
      <c r="I9" s="13"/>
      <c r="J9" s="13"/>
    </row>
    <row r="10" spans="1:12" ht="25.5" customHeight="1" x14ac:dyDescent="0.3">
      <c r="A10" s="39"/>
      <c r="B10" s="39"/>
      <c r="D10" s="61" t="s">
        <v>28</v>
      </c>
      <c r="E10" s="61"/>
      <c r="F10" s="61"/>
      <c r="G10" s="61"/>
      <c r="H10" s="61"/>
      <c r="I10" s="61"/>
      <c r="J10" s="61"/>
    </row>
    <row r="11" spans="1:12" ht="16.5" thickBot="1" x14ac:dyDescent="0.3">
      <c r="A11" s="39"/>
      <c r="B11" s="39"/>
    </row>
    <row r="12" spans="1:12" ht="17.25" thickTop="1" thickBot="1" x14ac:dyDescent="0.3">
      <c r="A12" s="41"/>
      <c r="B12" s="41"/>
      <c r="C12" s="54"/>
      <c r="D12" s="4"/>
      <c r="E12" s="5"/>
      <c r="F12" s="5"/>
      <c r="G12" s="5"/>
      <c r="H12" s="5"/>
      <c r="I12" s="5"/>
      <c r="J12" s="6"/>
    </row>
    <row r="13" spans="1:12" ht="16.5" thickBot="1" x14ac:dyDescent="0.3">
      <c r="A13" s="41" t="s">
        <v>20</v>
      </c>
      <c r="B13" s="42">
        <v>0.17810000000000001</v>
      </c>
      <c r="C13" s="54"/>
      <c r="D13" s="7"/>
      <c r="E13" s="15" t="s">
        <v>14</v>
      </c>
      <c r="F13" s="16">
        <v>4000000</v>
      </c>
      <c r="G13" s="17"/>
      <c r="H13" s="18" t="s">
        <v>36</v>
      </c>
      <c r="I13" s="15"/>
      <c r="J13" s="8"/>
    </row>
    <row r="14" spans="1:12" x14ac:dyDescent="0.25">
      <c r="A14" s="39"/>
      <c r="B14" s="39"/>
      <c r="C14" s="54"/>
      <c r="D14" s="7"/>
      <c r="E14" s="19"/>
      <c r="F14" s="15"/>
      <c r="G14" s="15"/>
      <c r="H14" s="19"/>
      <c r="I14" s="15"/>
      <c r="J14" s="8"/>
    </row>
    <row r="15" spans="1:12" x14ac:dyDescent="0.25">
      <c r="A15" s="41" t="s">
        <v>21</v>
      </c>
      <c r="B15" s="42">
        <v>0.36299999999999999</v>
      </c>
      <c r="C15" s="54"/>
      <c r="D15" s="7"/>
      <c r="E15" s="64" t="str">
        <f>+IF(B51=TRUE,"","Jahresmenge zu gering")</f>
        <v/>
      </c>
      <c r="F15" s="64"/>
      <c r="G15" s="64"/>
      <c r="H15" s="64"/>
      <c r="I15" s="64"/>
      <c r="J15" s="8"/>
    </row>
    <row r="16" spans="1:12" x14ac:dyDescent="0.25">
      <c r="A16" s="41" t="s">
        <v>1</v>
      </c>
      <c r="B16" s="43">
        <v>4000000</v>
      </c>
      <c r="C16" s="54"/>
      <c r="D16" s="7"/>
      <c r="E16" s="15"/>
      <c r="F16" s="15"/>
      <c r="G16" s="15"/>
      <c r="H16" s="15"/>
      <c r="I16" s="15"/>
      <c r="J16" s="8"/>
    </row>
    <row r="17" spans="1:12" x14ac:dyDescent="0.25">
      <c r="A17" s="41" t="s">
        <v>2</v>
      </c>
      <c r="B17" s="44">
        <v>0.73336972</v>
      </c>
      <c r="C17" s="54"/>
      <c r="D17" s="7"/>
      <c r="E17" s="15" t="s">
        <v>0</v>
      </c>
      <c r="F17" s="20">
        <f>IF($B$51=TRUE,F13,"")</f>
        <v>4000000</v>
      </c>
      <c r="G17" s="21"/>
      <c r="H17" s="15" t="str">
        <f>IF(F13&lt;1500001,"","kWh")</f>
        <v>kWh</v>
      </c>
      <c r="I17" s="15"/>
      <c r="J17" s="8"/>
    </row>
    <row r="18" spans="1:12" ht="29.25" x14ac:dyDescent="0.25">
      <c r="A18" s="41"/>
      <c r="B18" s="45"/>
      <c r="C18" s="54"/>
      <c r="D18" s="7"/>
      <c r="E18" s="22" t="s">
        <v>6</v>
      </c>
      <c r="F18" s="23">
        <f>IF($B$51=TRUE,ROUND(B13,4),"")</f>
        <v>0.17810000000000001</v>
      </c>
      <c r="G18" s="24"/>
      <c r="H18" s="15" t="s">
        <v>34</v>
      </c>
      <c r="I18" s="15"/>
      <c r="J18" s="8"/>
    </row>
    <row r="19" spans="1:12" ht="29.25" x14ac:dyDescent="0.25">
      <c r="A19" s="60" t="s">
        <v>5</v>
      </c>
      <c r="B19" s="60"/>
      <c r="C19" s="54"/>
      <c r="D19" s="7"/>
      <c r="E19" s="22" t="s">
        <v>7</v>
      </c>
      <c r="F19" s="23">
        <f>IF($B$51=TRUE,ROUND(B15,4),"")</f>
        <v>0.36299999999999999</v>
      </c>
      <c r="G19" s="24"/>
      <c r="H19" s="15" t="s">
        <v>34</v>
      </c>
      <c r="I19" s="15"/>
      <c r="J19" s="8"/>
    </row>
    <row r="20" spans="1:12" x14ac:dyDescent="0.25">
      <c r="A20" s="41" t="s">
        <v>3</v>
      </c>
      <c r="B20" s="41">
        <f>ROUND(B13+B15*(1/(1+(F13/B16)^B17)),4)</f>
        <v>0.35959999999999998</v>
      </c>
      <c r="C20" s="54"/>
      <c r="D20" s="7"/>
      <c r="E20" s="15" t="s">
        <v>8</v>
      </c>
      <c r="F20" s="25">
        <f>IF($B$51=TRUE,ROUND(B16,0),"")</f>
        <v>4000000</v>
      </c>
      <c r="G20" s="26"/>
      <c r="H20" s="15" t="s">
        <v>24</v>
      </c>
      <c r="I20" s="15"/>
      <c r="J20" s="8"/>
    </row>
    <row r="21" spans="1:12" x14ac:dyDescent="0.25">
      <c r="A21" s="41" t="s">
        <v>4</v>
      </c>
      <c r="B21" s="41">
        <f>B13+B15*(1/(1+(F13/B16)^B17))</f>
        <v>0.35960000000000003</v>
      </c>
      <c r="C21" s="54"/>
      <c r="D21" s="7"/>
      <c r="E21" s="15" t="s">
        <v>9</v>
      </c>
      <c r="F21" s="23">
        <f>IF($B$51=TRUE,ROUND(B17,4),"")</f>
        <v>0.73340000000000005</v>
      </c>
      <c r="G21" s="24"/>
      <c r="H21" s="15"/>
      <c r="I21" s="15"/>
      <c r="J21" s="8"/>
    </row>
    <row r="22" spans="1:12" x14ac:dyDescent="0.25">
      <c r="A22" s="41"/>
      <c r="B22" s="41"/>
      <c r="C22" s="54"/>
      <c r="D22" s="7"/>
      <c r="E22" s="15"/>
      <c r="F22" s="15"/>
      <c r="G22" s="15"/>
      <c r="H22" s="15"/>
      <c r="I22" s="15"/>
      <c r="J22" s="8"/>
    </row>
    <row r="23" spans="1:12" ht="29.25" x14ac:dyDescent="0.25">
      <c r="A23" s="41" t="s">
        <v>28</v>
      </c>
      <c r="B23" s="46">
        <f>B21*F13/100</f>
        <v>14384.000000000002</v>
      </c>
      <c r="C23" s="54"/>
      <c r="D23" s="7"/>
      <c r="E23" s="22" t="s">
        <v>29</v>
      </c>
      <c r="F23" s="51">
        <f>IF(F13="","",IF($B$51=TRUE,ROUND(B21,5),""))</f>
        <v>0.35959999999999998</v>
      </c>
      <c r="G23" s="15"/>
      <c r="H23" s="15" t="s">
        <v>34</v>
      </c>
      <c r="I23" s="15"/>
      <c r="J23" s="8"/>
    </row>
    <row r="24" spans="1:12" x14ac:dyDescent="0.25">
      <c r="A24" s="41"/>
      <c r="B24" s="47">
        <f>IF(F17="","",B23)</f>
        <v>14384.000000000002</v>
      </c>
      <c r="C24" s="54"/>
      <c r="D24" s="7"/>
      <c r="E24" s="27" t="s">
        <v>28</v>
      </c>
      <c r="F24" s="28">
        <f>IF(F13="","",IF($B$51=TRUE,ROUND(B23,5),""))</f>
        <v>14384</v>
      </c>
      <c r="G24" s="28"/>
      <c r="H24" s="27" t="s">
        <v>35</v>
      </c>
      <c r="I24" s="15"/>
      <c r="J24" s="8"/>
    </row>
    <row r="25" spans="1:12" ht="16.5" thickBot="1" x14ac:dyDescent="0.3">
      <c r="A25" s="41"/>
      <c r="B25" s="41"/>
      <c r="C25" s="54"/>
      <c r="D25" s="9"/>
      <c r="E25" s="10"/>
      <c r="F25" s="10"/>
      <c r="G25" s="10"/>
      <c r="H25" s="10"/>
      <c r="I25" s="10"/>
      <c r="J25" s="11"/>
      <c r="L25" s="12">
        <f>+(0.5018/(1+((4/3.1)^0.978780338))+0.1803)</f>
        <v>0.40006362411284652</v>
      </c>
    </row>
    <row r="26" spans="1:12" ht="16.5" thickTop="1" x14ac:dyDescent="0.25">
      <c r="A26" s="41"/>
      <c r="B26" s="41"/>
      <c r="C26" s="54"/>
    </row>
    <row r="27" spans="1:12" x14ac:dyDescent="0.25">
      <c r="A27" s="41"/>
      <c r="B27" s="41"/>
      <c r="C27" s="54"/>
    </row>
    <row r="28" spans="1:12" x14ac:dyDescent="0.25">
      <c r="A28" s="39"/>
      <c r="B28" s="39"/>
    </row>
    <row r="29" spans="1:12" ht="25.5" customHeight="1" x14ac:dyDescent="0.3">
      <c r="A29" s="39"/>
      <c r="B29" s="39"/>
      <c r="D29" s="61" t="s">
        <v>30</v>
      </c>
      <c r="E29" s="61"/>
      <c r="F29" s="61"/>
      <c r="G29" s="61"/>
      <c r="H29" s="61"/>
      <c r="I29" s="61"/>
      <c r="J29" s="61"/>
    </row>
    <row r="30" spans="1:12" ht="16.5" thickBot="1" x14ac:dyDescent="0.3">
      <c r="A30" s="39"/>
      <c r="B30" s="39"/>
    </row>
    <row r="31" spans="1:12" ht="17.25" thickTop="1" thickBot="1" x14ac:dyDescent="0.3">
      <c r="A31" s="39"/>
      <c r="B31" s="39"/>
      <c r="D31" s="4"/>
      <c r="E31" s="5"/>
      <c r="F31" s="5"/>
      <c r="G31" s="5"/>
      <c r="H31" s="5"/>
      <c r="I31" s="5"/>
      <c r="J31" s="6"/>
    </row>
    <row r="32" spans="1:12" ht="16.5" thickBot="1" x14ac:dyDescent="0.3">
      <c r="A32" s="39" t="s">
        <v>19</v>
      </c>
      <c r="B32" s="48">
        <v>3.48</v>
      </c>
      <c r="D32" s="7"/>
      <c r="E32" s="15" t="s">
        <v>13</v>
      </c>
      <c r="F32" s="56">
        <v>2000</v>
      </c>
      <c r="G32" s="15"/>
      <c r="H32" s="15" t="s">
        <v>25</v>
      </c>
      <c r="I32" s="15"/>
      <c r="J32" s="8"/>
    </row>
    <row r="33" spans="1:11" x14ac:dyDescent="0.25">
      <c r="A33" s="39" t="s">
        <v>18</v>
      </c>
      <c r="B33" s="49">
        <v>6.05</v>
      </c>
      <c r="D33" s="7"/>
      <c r="E33" s="15"/>
      <c r="F33" s="15"/>
      <c r="G33" s="15"/>
      <c r="H33" s="15"/>
      <c r="I33" s="15"/>
      <c r="J33" s="8"/>
    </row>
    <row r="34" spans="1:11" x14ac:dyDescent="0.25">
      <c r="A34" s="39"/>
      <c r="B34" s="39"/>
      <c r="D34" s="7"/>
      <c r="E34" s="62" t="str">
        <f>+IF(B51=TRUE,"","Vorhalteleistung zu gering")</f>
        <v/>
      </c>
      <c r="F34" s="62"/>
      <c r="G34" s="62"/>
      <c r="H34" s="62"/>
      <c r="I34" s="62"/>
      <c r="J34" s="8"/>
    </row>
    <row r="35" spans="1:11" x14ac:dyDescent="0.25">
      <c r="A35" s="39" t="s">
        <v>10</v>
      </c>
      <c r="B35" s="50">
        <v>2100</v>
      </c>
      <c r="D35" s="7"/>
      <c r="E35" s="19"/>
      <c r="F35" s="15"/>
      <c r="G35" s="15"/>
      <c r="H35" s="15"/>
      <c r="I35" s="15"/>
      <c r="J35" s="8"/>
    </row>
    <row r="36" spans="1:11" x14ac:dyDescent="0.25">
      <c r="A36" s="39" t="s">
        <v>2</v>
      </c>
      <c r="B36" s="41">
        <v>0.89908865000000004</v>
      </c>
      <c r="D36" s="7"/>
      <c r="E36" s="15" t="s">
        <v>15</v>
      </c>
      <c r="F36" s="57">
        <f>IF(B51=TRUE,IF(F32=0,"",F32),"")</f>
        <v>2000</v>
      </c>
      <c r="G36" s="15"/>
      <c r="H36" s="15" t="s">
        <v>25</v>
      </c>
      <c r="I36" s="15"/>
      <c r="J36" s="8"/>
    </row>
    <row r="37" spans="1:11" ht="29.25" x14ac:dyDescent="0.25">
      <c r="A37" s="39"/>
      <c r="B37" s="39"/>
      <c r="D37" s="7"/>
      <c r="E37" s="22" t="s">
        <v>16</v>
      </c>
      <c r="F37" s="15">
        <f>IF($B$51=TRUE,ROUND(B32,2),"")</f>
        <v>3.48</v>
      </c>
      <c r="G37" s="15"/>
      <c r="H37" s="15" t="s">
        <v>12</v>
      </c>
      <c r="I37" s="15"/>
      <c r="J37" s="8"/>
    </row>
    <row r="38" spans="1:11" ht="29.25" x14ac:dyDescent="0.25">
      <c r="A38" s="58" t="s">
        <v>11</v>
      </c>
      <c r="B38" s="58"/>
      <c r="D38" s="7"/>
      <c r="E38" s="22" t="s">
        <v>17</v>
      </c>
      <c r="F38" s="29">
        <f>IF($B$51=TRUE,ROUND(B33,2),"")</f>
        <v>6.05</v>
      </c>
      <c r="G38" s="15"/>
      <c r="H38" s="15" t="s">
        <v>12</v>
      </c>
      <c r="I38" s="15"/>
      <c r="J38" s="8"/>
    </row>
    <row r="39" spans="1:11" x14ac:dyDescent="0.25">
      <c r="A39" s="39" t="s">
        <v>12</v>
      </c>
      <c r="B39" s="39">
        <f>IF(F32="","",B32+B33/(1+((F32/B35)^B36)))</f>
        <v>6.5713377204030357</v>
      </c>
      <c r="D39" s="7"/>
      <c r="E39" s="15" t="s">
        <v>22</v>
      </c>
      <c r="F39" s="26">
        <f>IF($B$51=TRUE,ROUND(B35,0),"")</f>
        <v>2100</v>
      </c>
      <c r="G39" s="26"/>
      <c r="H39" s="15" t="s">
        <v>25</v>
      </c>
      <c r="I39" s="15"/>
      <c r="J39" s="8"/>
    </row>
    <row r="40" spans="1:11" x14ac:dyDescent="0.25">
      <c r="A40" s="39"/>
      <c r="B40" s="39"/>
      <c r="D40" s="7"/>
      <c r="E40" s="15" t="s">
        <v>23</v>
      </c>
      <c r="F40" s="24">
        <f>IF($B$51=TRUE,ROUND(B36,4),"")</f>
        <v>0.89910000000000001</v>
      </c>
      <c r="G40" s="24"/>
      <c r="H40" s="15"/>
      <c r="I40" s="15"/>
      <c r="J40" s="8"/>
    </row>
    <row r="41" spans="1:11" x14ac:dyDescent="0.25">
      <c r="A41" s="39"/>
      <c r="B41" s="39"/>
      <c r="D41" s="7"/>
      <c r="E41" s="15"/>
      <c r="F41" s="15"/>
      <c r="G41" s="15"/>
      <c r="H41" s="15"/>
      <c r="I41" s="15"/>
      <c r="J41" s="8"/>
    </row>
    <row r="42" spans="1:11" ht="29.25" x14ac:dyDescent="0.25">
      <c r="A42" s="39" t="s">
        <v>30</v>
      </c>
      <c r="B42" s="39">
        <f>IF(F32="","",F32*B39)</f>
        <v>13142.675440806071</v>
      </c>
      <c r="D42" s="7"/>
      <c r="E42" s="22" t="s">
        <v>31</v>
      </c>
      <c r="F42" s="52">
        <f>IF(F32="","",IF($B$51=TRUE,ROUND(B39,5),""))</f>
        <v>6.5713400000000002</v>
      </c>
      <c r="G42" s="30"/>
      <c r="H42" s="15" t="s">
        <v>12</v>
      </c>
      <c r="I42" s="15"/>
      <c r="J42" s="8"/>
    </row>
    <row r="43" spans="1:11" x14ac:dyDescent="0.25">
      <c r="A43" s="39"/>
      <c r="B43" s="39"/>
      <c r="D43" s="7"/>
      <c r="E43" s="27" t="s">
        <v>30</v>
      </c>
      <c r="F43" s="31">
        <f>IF(F32="","",IF($B$51=TRUE,ROUND(B42,2),""))</f>
        <v>13142.68</v>
      </c>
      <c r="G43" s="31"/>
      <c r="H43" s="32" t="s">
        <v>35</v>
      </c>
      <c r="I43" s="15"/>
      <c r="J43" s="8"/>
    </row>
    <row r="44" spans="1:11" ht="16.5" thickBot="1" x14ac:dyDescent="0.3">
      <c r="A44" s="39"/>
      <c r="B44" s="41"/>
      <c r="D44" s="9"/>
      <c r="E44" s="10"/>
      <c r="F44" s="10"/>
      <c r="G44" s="10"/>
      <c r="H44" s="10"/>
      <c r="I44" s="10"/>
      <c r="J44" s="11"/>
    </row>
    <row r="45" spans="1:11" ht="16.5" thickTop="1" x14ac:dyDescent="0.25">
      <c r="A45" s="39"/>
      <c r="B45" s="39"/>
    </row>
    <row r="46" spans="1:11" x14ac:dyDescent="0.25">
      <c r="A46" s="39"/>
      <c r="B46" s="39"/>
      <c r="C46" s="55"/>
      <c r="E46" s="33" t="str">
        <f>IF(F24="","",IF(F43="","Summe der Entgelte","Summe der Entgelte"))</f>
        <v>Summe der Entgelte</v>
      </c>
      <c r="F46" s="34">
        <f>IF(F24="","",IF(F43="",F24,F24+F43))</f>
        <v>27526.68</v>
      </c>
      <c r="G46" s="13"/>
      <c r="H46" s="35" t="str">
        <f>IF(F24="","",IF(F43="","€/a","€/a"))</f>
        <v>€/a</v>
      </c>
    </row>
    <row r="47" spans="1:11" x14ac:dyDescent="0.25">
      <c r="A47" s="39"/>
      <c r="B47" s="39"/>
    </row>
    <row r="48" spans="1:11" x14ac:dyDescent="0.25">
      <c r="A48" s="39"/>
      <c r="B48" s="39"/>
      <c r="K48" s="36" t="s">
        <v>27</v>
      </c>
    </row>
    <row r="49" spans="1:2" x14ac:dyDescent="0.25">
      <c r="A49" s="39"/>
      <c r="B49" s="39"/>
    </row>
    <row r="50" spans="1:2" x14ac:dyDescent="0.25">
      <c r="A50" s="39" t="s">
        <v>38</v>
      </c>
      <c r="B50" s="39"/>
    </row>
    <row r="51" spans="1:2" x14ac:dyDescent="0.25">
      <c r="A51" s="39" t="s">
        <v>39</v>
      </c>
      <c r="B51" s="39" t="b">
        <f>+OR(F13&gt;=1500000,F32&gt;=500)</f>
        <v>1</v>
      </c>
    </row>
  </sheetData>
  <sheetProtection password="B025" sheet="1" objects="1" scenarios="1" selectLockedCells="1"/>
  <mergeCells count="9">
    <mergeCell ref="A38:B38"/>
    <mergeCell ref="C3:K6"/>
    <mergeCell ref="A19:B19"/>
    <mergeCell ref="D10:J10"/>
    <mergeCell ref="D29:J29"/>
    <mergeCell ref="E34:I34"/>
    <mergeCell ref="D7:J7"/>
    <mergeCell ref="D8:J8"/>
    <mergeCell ref="E15:I15"/>
  </mergeCells>
  <phoneticPr fontId="1" type="noConversion"/>
  <pageMargins left="0.78740157499999996" right="0.78740157499999996" top="0.984251969" bottom="0.984251969" header="0.4921259845" footer="0.4921259845"/>
  <pageSetup paperSize="9" scale="48" orientation="portrait" r:id="rId1"/>
  <headerFooter alignWithMargins="0"/>
  <colBreaks count="1" manualBreakCount="1">
    <brk id="13" max="46" man="1"/>
  </colBreaks>
  <ignoredErrors>
    <ignoredError sqref="F2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EVF-Entgeltrechner</vt:lpstr>
      <vt:lpstr>'EVF-Entgeltrechner'!Druckbereich</vt:lpstr>
    </vt:vector>
  </TitlesOfParts>
  <Company>evf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Matthias Brandmaier</dc:creator>
  <cp:lastModifiedBy>Fischer, Florian</cp:lastModifiedBy>
  <cp:lastPrinted>2008-03-26T09:02:48Z</cp:lastPrinted>
  <dcterms:created xsi:type="dcterms:W3CDTF">2007-09-18T05:53:11Z</dcterms:created>
  <dcterms:modified xsi:type="dcterms:W3CDTF">2017-12-12T05:59:24Z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